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codeName="ThisWorkbook"/>
  <xr:revisionPtr revIDLastSave="0" documentId="8_{767E4961-8AAE-4CB4-A20D-596F6D84017A}" xr6:coauthVersionLast="47" xr6:coauthVersionMax="47" xr10:uidLastSave="{00000000-0000-0000-0000-000000000000}"/>
  <bookViews>
    <workbookView xWindow="-120" yWindow="-120" windowWidth="29040" windowHeight="15840" xr2:uid="{00000000-000D-0000-FFFF-FFFF00000000}"/>
  </bookViews>
  <sheets>
    <sheet name="Issue Tracker" sheetId="1" r:id="rId1"/>
    <sheet name="calculations" sheetId="2" state="hidden" r:id="rId2"/>
  </sheets>
  <definedNames>
    <definedName name="closed">OFFSET(calculations!$J$16,,,days)</definedName>
    <definedName name="closed_labels">closed+label_offset</definedName>
    <definedName name="dates">OFFSET(calculations!$H$16,,,days)</definedName>
    <definedName name="days">calculations!$J$7</definedName>
    <definedName name="keydate">calculations!$J$8</definedName>
    <definedName name="label_offset">MAX(opened, closed)*4%</definedName>
    <definedName name="maxdate">calculations!$J$5</definedName>
    <definedName name="mindate">calculations!$J$4</definedName>
    <definedName name="opened">OFFSET(calculations!$I$16,,,days)</definedName>
    <definedName name="opened_labels">opened+label_offset</definedName>
    <definedName name="_xlnm.Print_Titles" localSheetId="0">'Issue Tracker'!$5:$5</definedName>
    <definedName name="priorities">OFFSET(calculations!$T$16,,,calculations!$O$13+1)</definedName>
    <definedName name="prioritiesUnsorted">OFFSET(calculations!$O$15,,,calculations!$O$13+1)</definedName>
    <definedName name="priority">calculations!$J$10</definedName>
    <definedName name="RowTitleRegion1..J2">'Issue Tracker'!$G$1</definedName>
    <definedName name="Title1">Issues[[#Headers],['#]]</definedName>
    <definedName name="type">calculations!$J$9</definedName>
    <definedName name="types">OFFSET(calculations!$S$16,,,calculations!$N$13+1)</definedName>
    <definedName name="typesUnsorted">OFFSET(calculations!$N$15,,,calculations!$N$13+1)</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 i="2" l="1"/>
  <c r="I2" i="1"/>
  <c r="H96" i="1"/>
  <c r="H95" i="1"/>
  <c r="H94" i="1"/>
  <c r="H92" i="1"/>
  <c r="H93"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96" i="1"/>
  <c r="F95" i="1"/>
  <c r="F94" i="1"/>
  <c r="F93" i="1"/>
  <c r="F92" i="1"/>
  <c r="F91" i="1"/>
  <c r="F90" i="1"/>
  <c r="F89" i="1"/>
  <c r="F88" i="1"/>
  <c r="F87" i="1"/>
  <c r="F86" i="1"/>
  <c r="F85" i="1"/>
  <c r="F84" i="1"/>
  <c r="F83" i="1"/>
  <c r="F82" i="1"/>
  <c r="F81" i="1"/>
  <c r="F80" i="1"/>
  <c r="F79" i="1"/>
  <c r="F78" i="1"/>
  <c r="F77" i="1"/>
  <c r="F76" i="1"/>
  <c r="F74" i="1"/>
  <c r="F75"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1" i="1"/>
  <c r="F32" i="1"/>
  <c r="F30" i="1"/>
  <c r="F29" i="1"/>
  <c r="F28" i="1"/>
  <c r="F26" i="1"/>
  <c r="F27" i="1"/>
  <c r="F25" i="1"/>
  <c r="F24" i="1"/>
  <c r="F23" i="1"/>
  <c r="F21" i="1"/>
  <c r="F22" i="1"/>
  <c r="F20" i="1"/>
  <c r="F19" i="1"/>
  <c r="F18" i="1"/>
  <c r="F17" i="1"/>
  <c r="F16" i="1"/>
  <c r="F15" i="1"/>
  <c r="H15" i="1"/>
  <c r="H14" i="1"/>
  <c r="H13" i="1"/>
  <c r="H12" i="1"/>
  <c r="H11" i="1"/>
  <c r="F12" i="1"/>
  <c r="F13" i="1"/>
  <c r="F14" i="1"/>
  <c r="F11" i="1"/>
  <c r="H10" i="1"/>
  <c r="H9" i="1"/>
  <c r="H8" i="1"/>
  <c r="F9" i="1"/>
  <c r="F10" i="1"/>
  <c r="F8" i="1"/>
  <c r="H7" i="1"/>
  <c r="H6" i="1"/>
  <c r="F7" i="1"/>
  <c r="F6" i="1"/>
  <c r="J8" i="2" l="1"/>
  <c r="J7" i="2"/>
  <c r="J10" i="2"/>
  <c r="J9" i="2"/>
  <c r="H26" i="2" l="1"/>
  <c r="H16" i="2"/>
  <c r="H19" i="2"/>
  <c r="H20" i="2"/>
  <c r="H27" i="2"/>
  <c r="H35" i="2"/>
  <c r="H38" i="2"/>
  <c r="H55" i="2"/>
  <c r="H59" i="2"/>
  <c r="H23" i="2"/>
  <c r="H34" i="2"/>
  <c r="H53" i="2"/>
  <c r="H56" i="2"/>
  <c r="H28" i="2"/>
  <c r="H40" i="2"/>
  <c r="H62" i="2"/>
  <c r="H21" i="2"/>
  <c r="H29" i="2"/>
  <c r="H44" i="2"/>
  <c r="H22" i="2"/>
  <c r="H31" i="2"/>
  <c r="H48" i="2"/>
  <c r="H17" i="2"/>
  <c r="H25" i="2"/>
  <c r="H32" i="2"/>
  <c r="H46" i="2"/>
  <c r="H77" i="2"/>
  <c r="H66" i="2"/>
  <c r="H33" i="2"/>
  <c r="H41" i="2"/>
  <c r="H54" i="2"/>
  <c r="H68" i="2"/>
  <c r="H37" i="2"/>
  <c r="H47" i="2"/>
  <c r="H75" i="2"/>
  <c r="H64" i="2"/>
  <c r="H49" i="2"/>
  <c r="H61" i="2"/>
  <c r="H42" i="2"/>
  <c r="H52" i="2"/>
  <c r="H60" i="2"/>
  <c r="H70" i="2"/>
  <c r="H74" i="2"/>
  <c r="H72" i="2"/>
  <c r="H67" i="2"/>
  <c r="H18" i="2"/>
  <c r="H24" i="2"/>
  <c r="H30" i="2"/>
  <c r="H36" i="2"/>
  <c r="H43" i="2"/>
  <c r="H50" i="2"/>
  <c r="H58" i="2"/>
  <c r="H65" i="2"/>
  <c r="H73" i="2"/>
  <c r="H76" i="2"/>
  <c r="H71" i="2"/>
  <c r="H78" i="2"/>
  <c r="H79" i="2"/>
  <c r="H80" i="2"/>
  <c r="H39" i="2"/>
  <c r="H45" i="2"/>
  <c r="H51" i="2"/>
  <c r="H57" i="2"/>
  <c r="H63" i="2"/>
  <c r="H69" i="2"/>
  <c r="O16" i="2" l="1" a="1"/>
  <c r="O16" i="2" s="1"/>
  <c r="N16" i="2" a="1"/>
  <c r="N16" i="2" s="1"/>
  <c r="O17" i="2" l="1" a="1"/>
  <c r="O17" i="2" s="1"/>
  <c r="N17" i="2" a="1"/>
  <c r="N17" i="2" s="1"/>
  <c r="O18" i="2" l="1" a="1"/>
  <c r="O18" i="2" s="1"/>
  <c r="N18" i="2" a="1"/>
  <c r="N18" i="2" s="1"/>
  <c r="O19" i="2" l="1" a="1"/>
  <c r="O19" i="2" s="1"/>
  <c r="N19" i="2" a="1"/>
  <c r="N19" i="2" s="1"/>
  <c r="N20" i="2" l="1" a="1"/>
  <c r="N20" i="2" s="1"/>
  <c r="O20" i="2" a="1"/>
  <c r="O20" i="2" s="1"/>
  <c r="O21" i="2" l="1" a="1"/>
  <c r="O21" i="2" s="1"/>
  <c r="O22" i="2" s="1" a="1"/>
  <c r="O22" i="2" s="1"/>
  <c r="N21" i="2" a="1"/>
  <c r="N21" i="2" s="1"/>
  <c r="N22" i="2" s="1" a="1"/>
  <c r="N22" i="2" s="1"/>
  <c r="N23" i="2" s="1" a="1"/>
  <c r="N23" i="2" s="1"/>
  <c r="N24" i="2" s="1" a="1"/>
  <c r="N24" i="2" s="1"/>
  <c r="N25" i="2" s="1" a="1"/>
  <c r="N25" i="2" s="1"/>
  <c r="N26" i="2" s="1" a="1"/>
  <c r="N26" i="2" s="1"/>
  <c r="N27" i="2" s="1" a="1"/>
  <c r="N27" i="2" s="1"/>
  <c r="O23" i="2" l="1" a="1"/>
  <c r="O23" i="2" s="1"/>
  <c r="O24" i="2" s="1" a="1"/>
  <c r="O24" i="2" s="1"/>
  <c r="O25" i="2" s="1" a="1"/>
  <c r="O25" i="2" s="1"/>
  <c r="O26" i="2" s="1" a="1"/>
  <c r="O26" i="2" s="1"/>
  <c r="O27" i="2" s="1" a="1"/>
  <c r="O27" i="2" s="1"/>
  <c r="O28" i="2" s="1" a="1"/>
  <c r="O28" i="2" s="1"/>
  <c r="O29" i="2" s="1" a="1"/>
  <c r="O29" i="2" s="1"/>
  <c r="O30" i="2" s="1" a="1"/>
  <c r="O30" i="2" s="1"/>
  <c r="O31" i="2" s="1" a="1"/>
  <c r="O31" i="2" s="1"/>
  <c r="O32" i="2" s="1" a="1"/>
  <c r="O32" i="2" s="1"/>
  <c r="O33" i="2" s="1" a="1"/>
  <c r="O33" i="2" s="1"/>
  <c r="O34" i="2" s="1" a="1"/>
  <c r="O34" i="2" s="1"/>
  <c r="O35" i="2" s="1" a="1"/>
  <c r="O35" i="2" s="1"/>
  <c r="O36" i="2" s="1" a="1"/>
  <c r="O36" i="2" s="1"/>
  <c r="O37" i="2" s="1" a="1"/>
  <c r="O37" i="2" s="1"/>
  <c r="O38" i="2" s="1" a="1"/>
  <c r="O38" i="2" s="1"/>
  <c r="O39" i="2" s="1" a="1"/>
  <c r="O39" i="2" s="1"/>
  <c r="O40" i="2" s="1" a="1"/>
  <c r="O40" i="2" s="1"/>
  <c r="O41" i="2" s="1" a="1"/>
  <c r="O41" i="2" s="1"/>
  <c r="O42" i="2" s="1" a="1"/>
  <c r="O42" i="2" s="1"/>
  <c r="O43" i="2" s="1" a="1"/>
  <c r="O43" i="2" s="1"/>
  <c r="O44" i="2" s="1" a="1"/>
  <c r="O44" i="2" s="1"/>
  <c r="O45" i="2" s="1" a="1"/>
  <c r="O45" i="2" s="1"/>
  <c r="O13" i="2" s="1"/>
  <c r="N28" i="2" a="1"/>
  <c r="N28" i="2" s="1"/>
  <c r="N29" i="2" s="1" a="1"/>
  <c r="N29" i="2" s="1"/>
  <c r="N30" i="2" s="1" a="1"/>
  <c r="N30" i="2" s="1"/>
  <c r="N31" i="2" s="1" a="1"/>
  <c r="N31" i="2" s="1"/>
  <c r="N32" i="2" s="1" a="1"/>
  <c r="N32" i="2" s="1"/>
  <c r="N33" i="2" s="1" a="1"/>
  <c r="N33" i="2" s="1"/>
  <c r="N34" i="2" s="1" a="1"/>
  <c r="N34" i="2" s="1"/>
  <c r="N35" i="2" s="1" a="1"/>
  <c r="N35" i="2" s="1"/>
  <c r="N36" i="2" s="1" a="1"/>
  <c r="N36" i="2" s="1"/>
  <c r="N37" i="2" s="1" a="1"/>
  <c r="N37" i="2" s="1"/>
  <c r="N38" i="2" s="1" a="1"/>
  <c r="N38" i="2" s="1"/>
  <c r="N39" i="2" s="1" a="1"/>
  <c r="N39" i="2" s="1"/>
  <c r="N40" i="2" s="1" a="1"/>
  <c r="N40" i="2" s="1"/>
  <c r="N41" i="2" s="1" a="1"/>
  <c r="N41" i="2" s="1"/>
  <c r="N42" i="2" s="1" a="1"/>
  <c r="N42" i="2" s="1"/>
  <c r="N43" i="2" s="1" a="1"/>
  <c r="N43" i="2" s="1"/>
  <c r="N44" i="2" s="1" a="1"/>
  <c r="N44" i="2" s="1"/>
  <c r="N45" i="2" s="1" a="1"/>
  <c r="N45" i="2" s="1"/>
  <c r="N13" i="2" s="1"/>
  <c r="S38" i="2" l="1" a="1"/>
  <c r="S38" i="2" s="1"/>
  <c r="S26" i="2" a="1"/>
  <c r="S26" i="2" s="1"/>
  <c r="S24" i="2" a="1"/>
  <c r="S24" i="2" s="1"/>
  <c r="S23" i="2" a="1"/>
  <c r="S23" i="2" s="1"/>
  <c r="S22" i="2" a="1"/>
  <c r="S22" i="2" s="1"/>
  <c r="S33" i="2" a="1"/>
  <c r="S33" i="2" s="1"/>
  <c r="S32" i="2" a="1"/>
  <c r="S32" i="2" s="1"/>
  <c r="S20" i="2" a="1"/>
  <c r="S20" i="2" s="1"/>
  <c r="S43" i="2" a="1"/>
  <c r="S43" i="2" s="1"/>
  <c r="S19" i="2" a="1"/>
  <c r="S19" i="2" s="1"/>
  <c r="S42" i="2" a="1"/>
  <c r="S42" i="2" s="1"/>
  <c r="S18" i="2" a="1"/>
  <c r="S18" i="2" s="1"/>
  <c r="S28" i="2" a="1"/>
  <c r="S28" i="2" s="1"/>
  <c r="S37" i="2" a="1"/>
  <c r="S37" i="2" s="1"/>
  <c r="S25" i="2" a="1"/>
  <c r="S25" i="2" s="1"/>
  <c r="S36" i="2" a="1"/>
  <c r="S36" i="2" s="1"/>
  <c r="S35" i="2" a="1"/>
  <c r="S35" i="2" s="1"/>
  <c r="S34" i="2" a="1"/>
  <c r="S34" i="2" s="1"/>
  <c r="S45" i="2" a="1"/>
  <c r="S45" i="2" s="1"/>
  <c r="S21" i="2" a="1"/>
  <c r="S21" i="2" s="1"/>
  <c r="S44" i="2" a="1"/>
  <c r="S44" i="2" s="1"/>
  <c r="S31" i="2" a="1"/>
  <c r="S31" i="2" s="1"/>
  <c r="S30" i="2" a="1"/>
  <c r="S30" i="2" s="1"/>
  <c r="S40" i="2" a="1"/>
  <c r="S40" i="2" s="1"/>
  <c r="S27" i="2" a="1"/>
  <c r="S27" i="2" s="1"/>
  <c r="S41" i="2" a="1"/>
  <c r="S41" i="2" s="1"/>
  <c r="S29" i="2" a="1"/>
  <c r="S29" i="2" s="1"/>
  <c r="S17" i="2" a="1"/>
  <c r="S17" i="2" s="1"/>
  <c r="S16" i="2" a="1"/>
  <c r="S16" i="2" s="1"/>
  <c r="S39" i="2" a="1"/>
  <c r="S39" i="2" s="1"/>
  <c r="O12" i="2"/>
  <c r="T18" i="2" a="1"/>
  <c r="T18" i="2" s="1"/>
  <c r="T30" i="2" a="1"/>
  <c r="T30" i="2" s="1"/>
  <c r="T42" i="2" a="1"/>
  <c r="T42" i="2" s="1"/>
  <c r="T32" i="2" a="1"/>
  <c r="T32" i="2" s="1"/>
  <c r="T44" i="2" a="1"/>
  <c r="T44" i="2" s="1"/>
  <c r="T21" i="2" a="1"/>
  <c r="T21" i="2" s="1"/>
  <c r="T45" i="2" a="1"/>
  <c r="T45" i="2" s="1"/>
  <c r="T22" i="2" a="1"/>
  <c r="T22" i="2" s="1"/>
  <c r="T16" i="2" a="1"/>
  <c r="T16" i="2" s="1"/>
  <c r="T35" i="2" a="1"/>
  <c r="T35" i="2" s="1"/>
  <c r="T36" i="2" a="1"/>
  <c r="T36" i="2" s="1"/>
  <c r="T25" i="2" a="1"/>
  <c r="T25" i="2" s="1"/>
  <c r="T38" i="2" a="1"/>
  <c r="T38" i="2" s="1"/>
  <c r="T19" i="2" a="1"/>
  <c r="T19" i="2" s="1"/>
  <c r="T31" i="2" a="1"/>
  <c r="T31" i="2" s="1"/>
  <c r="T43" i="2" a="1"/>
  <c r="T43" i="2" s="1"/>
  <c r="T20" i="2" a="1"/>
  <c r="T20" i="2" s="1"/>
  <c r="T33" i="2" a="1"/>
  <c r="T33" i="2" s="1"/>
  <c r="T34" i="2" a="1"/>
  <c r="T34" i="2" s="1"/>
  <c r="T23" i="2" a="1"/>
  <c r="T23" i="2" s="1"/>
  <c r="T24" i="2" a="1"/>
  <c r="T24" i="2" s="1"/>
  <c r="T37" i="2" a="1"/>
  <c r="T37" i="2" s="1"/>
  <c r="T26" i="2" a="1"/>
  <c r="T26" i="2" s="1"/>
  <c r="T17" i="2" a="1"/>
  <c r="T17" i="2" s="1"/>
  <c r="T41" i="2" a="1"/>
  <c r="T41" i="2" s="1"/>
  <c r="T27" i="2" a="1"/>
  <c r="T27" i="2" s="1"/>
  <c r="T39" i="2" a="1"/>
  <c r="T39" i="2" s="1"/>
  <c r="T28" i="2" a="1"/>
  <c r="T28" i="2" s="1"/>
  <c r="T40" i="2" a="1"/>
  <c r="T40" i="2" s="1"/>
  <c r="T29" i="2" a="1"/>
  <c r="T29" i="2" s="1"/>
  <c r="N12" i="2"/>
  <c r="N8" i="2"/>
  <c r="I16" i="2" l="1"/>
  <c r="I17" i="2" l="1"/>
  <c r="I18" i="2" s="1"/>
  <c r="I19" i="2" s="1"/>
  <c r="I20" i="2" s="1"/>
  <c r="I21" i="2" s="1"/>
  <c r="I22" i="2" s="1"/>
  <c r="I23" i="2" s="1"/>
  <c r="I24" i="2" s="1"/>
  <c r="I25" i="2" s="1"/>
  <c r="I26" i="2" s="1"/>
  <c r="I27" i="2" s="1"/>
  <c r="I28" i="2" s="1"/>
  <c r="I29" i="2" s="1"/>
  <c r="I30" i="2" s="1"/>
  <c r="I31" i="2" s="1"/>
  <c r="I32" i="2" s="1"/>
  <c r="I33" i="2" s="1"/>
  <c r="I34" i="2" s="1"/>
  <c r="I35" i="2" s="1"/>
  <c r="I36" i="2" s="1"/>
  <c r="I37" i="2" s="1"/>
  <c r="I38" i="2" s="1"/>
  <c r="I39" i="2" s="1"/>
  <c r="I40" i="2" s="1"/>
  <c r="I41" i="2" s="1"/>
  <c r="I42" i="2" s="1"/>
  <c r="I43" i="2" s="1"/>
  <c r="I44" i="2" s="1"/>
  <c r="I45" i="2" s="1"/>
  <c r="I46" i="2" s="1"/>
  <c r="I47" i="2" s="1"/>
  <c r="I48" i="2" s="1"/>
  <c r="I49" i="2" s="1"/>
  <c r="I50" i="2" s="1"/>
  <c r="I51" i="2" s="1"/>
  <c r="I52" i="2" s="1"/>
  <c r="I53" i="2" s="1"/>
  <c r="I54" i="2" s="1"/>
  <c r="I55" i="2" s="1"/>
  <c r="I56" i="2" s="1"/>
  <c r="I57" i="2" s="1"/>
  <c r="I58" i="2" s="1"/>
  <c r="I59" i="2" s="1"/>
  <c r="I60" i="2" s="1"/>
  <c r="I61" i="2" s="1"/>
  <c r="I62" i="2" s="1"/>
  <c r="I63" i="2" s="1"/>
  <c r="I64" i="2" s="1"/>
  <c r="I65" i="2" s="1"/>
  <c r="I66" i="2" s="1"/>
  <c r="I67" i="2" s="1"/>
  <c r="I68" i="2" s="1"/>
  <c r="I69" i="2" s="1"/>
  <c r="I70" i="2" s="1"/>
  <c r="I71" i="2" s="1"/>
  <c r="I72" i="2" s="1"/>
  <c r="I73" i="2" s="1"/>
  <c r="I74" i="2" s="1"/>
  <c r="I75" i="2" s="1"/>
  <c r="I76" i="2" s="1"/>
  <c r="I77" i="2" s="1"/>
  <c r="I78" i="2" s="1"/>
  <c r="I79" i="2" s="1"/>
  <c r="I80" i="2" s="1"/>
  <c r="J16" i="2"/>
  <c r="J17" i="2" s="1"/>
  <c r="J18" i="2" s="1"/>
  <c r="J19" i="2" s="1"/>
  <c r="J20" i="2" s="1"/>
  <c r="J21" i="2" s="1"/>
  <c r="J22" i="2" s="1"/>
  <c r="J23" i="2" s="1"/>
  <c r="J24" i="2" s="1"/>
  <c r="J25" i="2" s="1"/>
  <c r="J26" i="2" s="1"/>
  <c r="J27" i="2" s="1"/>
  <c r="J28" i="2" s="1"/>
  <c r="J29" i="2" s="1"/>
  <c r="J30" i="2" s="1"/>
  <c r="J31" i="2" s="1"/>
  <c r="J32" i="2" s="1"/>
  <c r="J33" i="2" s="1"/>
  <c r="J34" i="2" s="1"/>
  <c r="J35" i="2" s="1"/>
  <c r="J36" i="2" s="1"/>
  <c r="J37" i="2" s="1"/>
  <c r="J38" i="2" s="1"/>
  <c r="J39" i="2" s="1"/>
  <c r="J40" i="2" s="1"/>
  <c r="J41" i="2" s="1"/>
  <c r="J42" i="2" s="1"/>
  <c r="J43" i="2" s="1"/>
  <c r="J44" i="2" s="1"/>
  <c r="J45" i="2" s="1"/>
  <c r="J46" i="2" s="1"/>
  <c r="J47" i="2" s="1"/>
  <c r="J48" i="2" s="1"/>
  <c r="J49" i="2" s="1"/>
  <c r="J50" i="2" s="1"/>
  <c r="J51" i="2" s="1"/>
  <c r="J52" i="2" s="1"/>
  <c r="J53" i="2" s="1"/>
  <c r="J54" i="2" s="1"/>
  <c r="J55" i="2" s="1"/>
  <c r="J56" i="2" s="1"/>
  <c r="J57" i="2" s="1"/>
  <c r="J58" i="2" s="1"/>
  <c r="J59" i="2" s="1"/>
  <c r="J60" i="2" s="1"/>
  <c r="J61" i="2" s="1"/>
  <c r="J62" i="2" s="1"/>
  <c r="J63" i="2" s="1"/>
  <c r="J64" i="2" s="1"/>
  <c r="J65" i="2" s="1"/>
  <c r="J66" i="2" s="1"/>
  <c r="J67" i="2" s="1"/>
  <c r="J68" i="2" s="1"/>
  <c r="J69" i="2" s="1"/>
  <c r="J70" i="2" s="1"/>
  <c r="J71" i="2" s="1"/>
  <c r="J72" i="2" s="1"/>
  <c r="J73" i="2" s="1"/>
  <c r="J74" i="2" s="1"/>
  <c r="J75" i="2" s="1"/>
  <c r="J76" i="2" s="1"/>
  <c r="J77" i="2" s="1"/>
  <c r="J78" i="2" s="1"/>
  <c r="J79" i="2" s="1"/>
  <c r="J80" i="2" s="1"/>
</calcChain>
</file>

<file path=xl/sharedStrings.xml><?xml version="1.0" encoding="utf-8"?>
<sst xmlns="http://schemas.openxmlformats.org/spreadsheetml/2006/main" count="490" uniqueCount="128">
  <si>
    <t>Type</t>
  </si>
  <si>
    <t>Priority</t>
  </si>
  <si>
    <t>#</t>
  </si>
  <si>
    <t>Issue #1</t>
  </si>
  <si>
    <t>Issue #2</t>
  </si>
  <si>
    <t>Issue #3</t>
  </si>
  <si>
    <t>Issue #4</t>
  </si>
  <si>
    <t>Issue #5</t>
  </si>
  <si>
    <t>Issue #6</t>
  </si>
  <si>
    <t>Issue #7</t>
  </si>
  <si>
    <t>Issue #8</t>
  </si>
  <si>
    <t>Issue #9</t>
  </si>
  <si>
    <t>Issue #10</t>
  </si>
  <si>
    <t>Issue #11</t>
  </si>
  <si>
    <t>Issue #12</t>
  </si>
  <si>
    <t>Issue #13</t>
  </si>
  <si>
    <t>Issue #14</t>
  </si>
  <si>
    <t>Issue #15</t>
  </si>
  <si>
    <t>Issue #16</t>
  </si>
  <si>
    <t>Issue #17</t>
  </si>
  <si>
    <t>Issue #18</t>
  </si>
  <si>
    <t>Issue #19</t>
  </si>
  <si>
    <t>Issue #20</t>
  </si>
  <si>
    <t>Issue #21</t>
  </si>
  <si>
    <t>Issue #22</t>
  </si>
  <si>
    <t>Issue #23</t>
  </si>
  <si>
    <t>Issue #24</t>
  </si>
  <si>
    <t>Issue #25</t>
  </si>
  <si>
    <t>Issue #26</t>
  </si>
  <si>
    <t>Issue #27</t>
  </si>
  <si>
    <t>Issue #28</t>
  </si>
  <si>
    <t>Issue #29</t>
  </si>
  <si>
    <t>Issue #30</t>
  </si>
  <si>
    <t>Issue #31</t>
  </si>
  <si>
    <t>Issue #32</t>
  </si>
  <si>
    <t>Issue #33</t>
  </si>
  <si>
    <t>Issue #34</t>
  </si>
  <si>
    <t>Issue #35</t>
  </si>
  <si>
    <t>Issue #36</t>
  </si>
  <si>
    <t>Issue #37</t>
  </si>
  <si>
    <t>Issue #38</t>
  </si>
  <si>
    <t>Issue #39</t>
  </si>
  <si>
    <t>Issue #40</t>
  </si>
  <si>
    <t>Issue #41</t>
  </si>
  <si>
    <t>Issue #42</t>
  </si>
  <si>
    <t>Opened</t>
  </si>
  <si>
    <t>Closed</t>
  </si>
  <si>
    <t>*</t>
  </si>
  <si>
    <t>Date</t>
  </si>
  <si>
    <t>Days</t>
  </si>
  <si>
    <t>Types</t>
  </si>
  <si>
    <t>Priorities</t>
  </si>
  <si>
    <t>Issue #43</t>
  </si>
  <si>
    <t>Issue #44</t>
  </si>
  <si>
    <t>Issue #45</t>
  </si>
  <si>
    <t>Issue #46</t>
  </si>
  <si>
    <t>Issue #47</t>
  </si>
  <si>
    <t>Issue #48</t>
  </si>
  <si>
    <t>Issue #49</t>
  </si>
  <si>
    <t>Issue #50</t>
  </si>
  <si>
    <t>Issue #51</t>
  </si>
  <si>
    <t>Issue #52</t>
  </si>
  <si>
    <t>Issue #53</t>
  </si>
  <si>
    <t>Issue #54</t>
  </si>
  <si>
    <t>Issue #55</t>
  </si>
  <si>
    <t>Issue #56</t>
  </si>
  <si>
    <t>Issue #57</t>
  </si>
  <si>
    <t>Issue #58</t>
  </si>
  <si>
    <t>Issue #59</t>
  </si>
  <si>
    <t>Issue #60</t>
  </si>
  <si>
    <t>Issue #61</t>
  </si>
  <si>
    <t>Issue #62</t>
  </si>
  <si>
    <t>Issue #63</t>
  </si>
  <si>
    <t>Issue #64</t>
  </si>
  <si>
    <t>Issue #65</t>
  </si>
  <si>
    <t>Issue #66</t>
  </si>
  <si>
    <t>Issue #67</t>
  </si>
  <si>
    <t>Issue #68</t>
  </si>
  <si>
    <t>Issue #69</t>
  </si>
  <si>
    <t>Issue #70</t>
  </si>
  <si>
    <t>Issue #71</t>
  </si>
  <si>
    <t>Issue #72</t>
  </si>
  <si>
    <t>Issue #73</t>
  </si>
  <si>
    <t>Issue #74</t>
  </si>
  <si>
    <t>Issue #75</t>
  </si>
  <si>
    <t>Issue #76</t>
  </si>
  <si>
    <t>Issue #77</t>
  </si>
  <si>
    <t>Issue #78</t>
  </si>
  <si>
    <t>Issue #79</t>
  </si>
  <si>
    <t>Issue #80</t>
  </si>
  <si>
    <t>Issue #81</t>
  </si>
  <si>
    <t>Issue #82</t>
  </si>
  <si>
    <t>Issue #83</t>
  </si>
  <si>
    <t>Issue #84</t>
  </si>
  <si>
    <t>Issue #85</t>
  </si>
  <si>
    <t>Issue #86</t>
  </si>
  <si>
    <t>Issue #87</t>
  </si>
  <si>
    <t>Issue #88</t>
  </si>
  <si>
    <t>Issue #89</t>
  </si>
  <si>
    <t>Issue #90</t>
  </si>
  <si>
    <t>Min</t>
  </si>
  <si>
    <t>Max</t>
  </si>
  <si>
    <t>*** This sheet should remain hidden ***</t>
  </si>
  <si>
    <t>Type 1</t>
  </si>
  <si>
    <t>High</t>
  </si>
  <si>
    <t>Type 2</t>
  </si>
  <si>
    <t>Medium</t>
  </si>
  <si>
    <t>James</t>
  </si>
  <si>
    <t>Low</t>
  </si>
  <si>
    <t>Kim</t>
  </si>
  <si>
    <t>Type 3</t>
  </si>
  <si>
    <t>Lilly</t>
  </si>
  <si>
    <t>Ted</t>
  </si>
  <si>
    <t>Type 4</t>
  </si>
  <si>
    <t>Sorted</t>
  </si>
  <si>
    <t>ISSUE</t>
  </si>
  <si>
    <t>TYPE</t>
  </si>
  <si>
    <t>PRIORITY</t>
  </si>
  <si>
    <t>OPENED ON</t>
  </si>
  <si>
    <t>OPENED BY</t>
  </si>
  <si>
    <t>CLOSED ON</t>
  </si>
  <si>
    <t>CLOSED BY</t>
  </si>
  <si>
    <t>NOTES</t>
  </si>
  <si>
    <t>Issue #91</t>
  </si>
  <si>
    <t>DATE</t>
  </si>
  <si>
    <t>LAST (days)</t>
  </si>
  <si>
    <t>Issue Tracker Chart showing Opened vs. Closed issues per day for a given time frame is in cells A2 through J4.</t>
  </si>
  <si>
    <r>
      <rPr>
        <b/>
        <sz val="28"/>
        <color theme="4"/>
        <rFont val="Calibri"/>
        <family val="2"/>
        <scheme val="major"/>
      </rPr>
      <t>OPEN</t>
    </r>
    <r>
      <rPr>
        <sz val="28"/>
        <color theme="0"/>
        <rFont val="Calibri"/>
        <family val="2"/>
        <scheme val="major"/>
      </rPr>
      <t xml:space="preserve"> vs. </t>
    </r>
    <r>
      <rPr>
        <b/>
        <sz val="28"/>
        <color theme="6"/>
        <rFont val="Calibri"/>
        <family val="2"/>
        <scheme val="major"/>
      </rPr>
      <t>CLOSED</t>
    </r>
    <r>
      <rPr>
        <sz val="28"/>
        <color theme="0"/>
        <rFont val="Calibri"/>
        <family val="2"/>
        <scheme val="major"/>
      </rPr>
      <t xml:space="preserve"> ISSUE TRACKER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</si>
</sst>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
  </numFmts>
  <fonts count="12" x14ac:knownFonts="1">
    <font>
      <sz val="12"/>
      <color theme="0"/>
      <name val="Calibri"/>
      <family val="2"/>
      <scheme val="minor"/>
    </font>
    <font>
      <sz val="11"/>
      <color theme="1"/>
      <name val="Calibri"/>
      <family val="2"/>
      <scheme val="minor"/>
    </font>
    <font>
      <b/>
      <sz val="19"/>
      <color theme="0"/>
      <name val="Calibri"/>
      <family val="2"/>
      <scheme val="minor"/>
    </font>
    <font>
      <sz val="13"/>
      <color theme="0"/>
      <name val="Calibri"/>
      <family val="2"/>
      <scheme val="minor"/>
    </font>
    <font>
      <sz val="28"/>
      <color theme="0"/>
      <name val="Calibri"/>
      <family val="2"/>
      <scheme val="major"/>
    </font>
    <font>
      <b/>
      <sz val="28"/>
      <color theme="4"/>
      <name val="Calibri"/>
      <family val="2"/>
      <scheme val="major"/>
    </font>
    <font>
      <b/>
      <sz val="28"/>
      <color theme="6"/>
      <name val="Calibri"/>
      <family val="2"/>
      <scheme val="major"/>
    </font>
    <font>
      <b/>
      <sz val="16"/>
      <color theme="0"/>
      <name val="Calibri"/>
      <family val="2"/>
      <scheme val="minor"/>
    </font>
    <font>
      <b/>
      <sz val="16"/>
      <color theme="4"/>
      <name val="Calibri"/>
      <family val="2"/>
      <scheme val="minor"/>
    </font>
    <font>
      <b/>
      <sz val="16"/>
      <color theme="6"/>
      <name val="Calibri"/>
      <family val="2"/>
      <scheme val="minor"/>
    </font>
    <font>
      <sz val="12"/>
      <color theme="1" tint="0.34998626667073579"/>
      <name val="Calibri"/>
      <family val="2"/>
      <scheme val="minor"/>
    </font>
    <font>
      <sz val="12"/>
      <color theme="0"/>
      <name val="Calibri"/>
      <family val="2"/>
      <scheme val="minor"/>
    </font>
  </fonts>
  <fills count="5">
    <fill>
      <patternFill patternType="none"/>
    </fill>
    <fill>
      <patternFill patternType="gray125"/>
    </fill>
    <fill>
      <patternFill patternType="solid">
        <fgColor theme="1" tint="0.34998626667073579"/>
        <bgColor indexed="64"/>
      </patternFill>
    </fill>
    <fill>
      <patternFill patternType="solid">
        <fgColor theme="1" tint="0.14999847407452621"/>
        <bgColor indexed="64"/>
      </patternFill>
    </fill>
    <fill>
      <patternFill patternType="solid">
        <fgColor theme="1" tint="0.14996795556505021"/>
        <bgColor indexed="64"/>
      </patternFill>
    </fill>
  </fills>
  <borders count="2">
    <border>
      <left/>
      <right/>
      <top/>
      <bottom/>
      <diagonal/>
    </border>
    <border>
      <left/>
      <right/>
      <top style="thick">
        <color theme="1" tint="0.499984740745262"/>
      </top>
      <bottom/>
      <diagonal/>
    </border>
  </borders>
  <cellStyleXfs count="9">
    <xf numFmtId="0" fontId="0" fillId="2" borderId="0">
      <alignment horizontal="left" vertical="center" wrapText="1" indent="1"/>
    </xf>
    <xf numFmtId="14" fontId="1" fillId="0" borderId="0" applyFont="0" applyFill="0" applyBorder="0" applyAlignment="0" applyProtection="0"/>
    <xf numFmtId="0" fontId="4" fillId="4" borderId="1">
      <alignment horizontal="left" vertical="center" wrapText="1"/>
    </xf>
    <xf numFmtId="0" fontId="3" fillId="4" borderId="0">
      <alignment horizontal="left" vertical="top"/>
    </xf>
    <xf numFmtId="0" fontId="2" fillId="4" borderId="1">
      <alignment horizontal="left"/>
    </xf>
    <xf numFmtId="0" fontId="7" fillId="0" borderId="0" applyNumberFormat="0" applyFill="0" applyBorder="0" applyAlignment="0"/>
    <xf numFmtId="0" fontId="8" fillId="0" borderId="0" applyNumberFormat="0" applyFill="0" applyAlignment="0" applyProtection="0"/>
    <xf numFmtId="0" fontId="9" fillId="0" borderId="0" applyNumberFormat="0" applyFill="0" applyBorder="0" applyAlignment="0" applyProtection="0"/>
    <xf numFmtId="0" fontId="10" fillId="2" borderId="0"/>
  </cellStyleXfs>
  <cellXfs count="12">
    <xf numFmtId="0" fontId="0" fillId="2" borderId="0" xfId="0">
      <alignment horizontal="left" vertical="center" wrapText="1" indent="1"/>
    </xf>
    <xf numFmtId="14" fontId="0" fillId="2" borderId="0" xfId="0" applyNumberFormat="1">
      <alignment horizontal="left" vertical="center" wrapText="1" indent="1"/>
    </xf>
    <xf numFmtId="14" fontId="0" fillId="2" borderId="0" xfId="1" applyFont="1" applyFill="1" applyBorder="1" applyAlignment="1">
      <alignment horizontal="left" vertical="center" indent="1"/>
    </xf>
    <xf numFmtId="0" fontId="2" fillId="3" borderId="1" xfId="4" applyFill="1">
      <alignment horizontal="left"/>
    </xf>
    <xf numFmtId="0" fontId="7" fillId="2" borderId="0" xfId="5" applyFill="1" applyBorder="1" applyAlignment="1">
      <alignment horizontal="left" vertical="center" indent="1"/>
    </xf>
    <xf numFmtId="0" fontId="8" fillId="2" borderId="0" xfId="6" applyFill="1" applyAlignment="1">
      <alignment horizontal="left" vertical="center" indent="1"/>
    </xf>
    <xf numFmtId="0" fontId="9" fillId="2" borderId="0" xfId="7" applyFill="1" applyBorder="1" applyAlignment="1">
      <alignment horizontal="left" vertical="center" indent="1"/>
    </xf>
    <xf numFmtId="0" fontId="3" fillId="4" borderId="0" xfId="3">
      <alignment horizontal="left" vertical="top"/>
    </xf>
    <xf numFmtId="14" fontId="3" fillId="4" borderId="0" xfId="1" applyFont="1" applyFill="1" applyAlignment="1">
      <alignment horizontal="left" vertical="top"/>
    </xf>
    <xf numFmtId="0" fontId="4" fillId="3" borderId="1" xfId="2" applyFill="1">
      <alignment horizontal="left" vertical="center" wrapText="1"/>
    </xf>
    <xf numFmtId="0" fontId="4" fillId="3" borderId="0" xfId="2" applyFill="1" applyBorder="1">
      <alignment horizontal="left" vertical="center" wrapText="1"/>
    </xf>
    <xf numFmtId="164" fontId="11" fillId="2" borderId="0" xfId="8" applyNumberFormat="1" applyFont="1"/>
  </cellXfs>
  <cellStyles count="9">
    <cellStyle name="Date" xfId="1" xr:uid="{00000000-0005-0000-0000-000000000000}"/>
    <cellStyle name="Heading 1" xfId="4" builtinId="16" customBuiltin="1"/>
    <cellStyle name="Heading 2" xfId="5" builtinId="17" customBuiltin="1"/>
    <cellStyle name="Heading 3" xfId="6" builtinId="18" customBuiltin="1"/>
    <cellStyle name="Heading 4" xfId="7" builtinId="19" customBuiltin="1"/>
    <cellStyle name="Input" xfId="3" builtinId="20" customBuiltin="1"/>
    <cellStyle name="Normal" xfId="0" builtinId="0" customBuiltin="1"/>
    <cellStyle name="Note" xfId="8" builtinId="10" customBuiltin="1"/>
    <cellStyle name="Title" xfId="2" builtinId="15" customBuiltin="1"/>
  </cellStyles>
  <dxfs count="3">
    <dxf>
      <font>
        <color theme="0"/>
      </font>
      <fill>
        <patternFill>
          <bgColor theme="1" tint="0.14996795556505021"/>
        </patternFill>
      </fill>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vertical style="thin">
          <color theme="1" tint="0.499984740745262"/>
        </vertical>
        <horizontal style="thin">
          <color theme="1" tint="0.499984740745262"/>
        </horizontal>
      </border>
    </dxf>
    <dxf>
      <font>
        <color theme="0"/>
      </font>
      <fill>
        <patternFill>
          <bgColor theme="1" tint="0.34998626667073579"/>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ont>
        <b/>
        <i val="0"/>
        <color theme="0"/>
      </font>
      <fill>
        <patternFill>
          <bgColor theme="1" tint="0.14996795556505021"/>
        </patternFill>
      </fill>
    </dxf>
  </dxfs>
  <tableStyles count="1" defaultTableStyle="Project Issue Tracker" defaultPivotStyle="PivotStyleDark1">
    <tableStyle name="Project Issue Tracker"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22643738294065E-2"/>
          <c:y val="0"/>
          <c:w val="0.98089344601703421"/>
          <c:h val="0.94944925634295718"/>
        </c:manualLayout>
      </c:layout>
      <c:areaChart>
        <c:grouping val="standard"/>
        <c:varyColors val="0"/>
        <c:ser>
          <c:idx val="4"/>
          <c:order val="4"/>
          <c:tx>
            <c:v>Closed Area</c:v>
          </c:tx>
          <c:spPr>
            <a:solidFill>
              <a:schemeClr val="tx1">
                <a:lumMod val="95000"/>
                <a:lumOff val="5000"/>
                <a:alpha val="35000"/>
              </a:schemeClr>
            </a:solidFill>
            <a:ln w="25400">
              <a:noFill/>
            </a:ln>
            <a:effectLst/>
          </c:spPr>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extLst>
            <c:ext xmlns:c16="http://schemas.microsoft.com/office/drawing/2014/chart" uri="{C3380CC4-5D6E-409C-BE32-E72D297353CC}">
              <c16:uniqueId val="{00000000-1921-435A-A753-3C15F1417759}"/>
            </c:ext>
          </c:extLst>
        </c:ser>
        <c:dLbls>
          <c:showLegendKey val="0"/>
          <c:showVal val="0"/>
          <c:showCatName val="0"/>
          <c:showSerName val="0"/>
          <c:showPercent val="0"/>
          <c:showBubbleSize val="0"/>
        </c:dLbls>
        <c:axId val="175931448"/>
        <c:axId val="175838944"/>
      </c:areaChart>
      <c:lineChart>
        <c:grouping val="standard"/>
        <c:varyColors val="0"/>
        <c:ser>
          <c:idx val="0"/>
          <c:order val="0"/>
          <c:tx>
            <c:strRef>
              <c:f>calculations!$I$14</c:f>
              <c:strCache>
                <c:ptCount val="1"/>
                <c:pt idx="0">
                  <c:v>Opened</c:v>
                </c:pt>
              </c:strCache>
            </c:strRef>
          </c:tx>
          <c:spPr>
            <a:ln w="19050" cap="rnd" cmpd="sng" algn="ctr">
              <a:solidFill>
                <a:schemeClr val="accent2"/>
              </a:solidFill>
              <a:round/>
            </a:ln>
            <a:effectLst/>
          </c:spPr>
          <c:marker>
            <c:symbol val="none"/>
          </c:marker>
          <c:dLbls>
            <c:delete val="1"/>
          </c:dLbls>
          <c:cat>
            <c:numRef>
              <c:f>[0]!dates</c:f>
              <c:numCache>
                <c:formatCode>m/d/yyyy</c:formatCode>
                <c:ptCount val="30"/>
                <c:pt idx="0">
                  <c:v>45413</c:v>
                </c:pt>
                <c:pt idx="1">
                  <c:v>45414</c:v>
                </c:pt>
                <c:pt idx="2">
                  <c:v>45415</c:v>
                </c:pt>
                <c:pt idx="3">
                  <c:v>45416</c:v>
                </c:pt>
                <c:pt idx="4">
                  <c:v>45417</c:v>
                </c:pt>
                <c:pt idx="5">
                  <c:v>45418</c:v>
                </c:pt>
                <c:pt idx="6">
                  <c:v>45419</c:v>
                </c:pt>
                <c:pt idx="7">
                  <c:v>45420</c:v>
                </c:pt>
                <c:pt idx="8">
                  <c:v>45421</c:v>
                </c:pt>
                <c:pt idx="9">
                  <c:v>45422</c:v>
                </c:pt>
                <c:pt idx="10">
                  <c:v>45423</c:v>
                </c:pt>
                <c:pt idx="11">
                  <c:v>45424</c:v>
                </c:pt>
                <c:pt idx="12">
                  <c:v>45425</c:v>
                </c:pt>
                <c:pt idx="13">
                  <c:v>45426</c:v>
                </c:pt>
                <c:pt idx="14">
                  <c:v>45427</c:v>
                </c:pt>
                <c:pt idx="15">
                  <c:v>45428</c:v>
                </c:pt>
                <c:pt idx="16">
                  <c:v>45429</c:v>
                </c:pt>
                <c:pt idx="17">
                  <c:v>45430</c:v>
                </c:pt>
                <c:pt idx="18">
                  <c:v>45431</c:v>
                </c:pt>
                <c:pt idx="19">
                  <c:v>45432</c:v>
                </c:pt>
                <c:pt idx="20">
                  <c:v>45433</c:v>
                </c:pt>
                <c:pt idx="21">
                  <c:v>45434</c:v>
                </c:pt>
                <c:pt idx="22">
                  <c:v>45435</c:v>
                </c:pt>
                <c:pt idx="23">
                  <c:v>45436</c:v>
                </c:pt>
                <c:pt idx="24">
                  <c:v>45437</c:v>
                </c:pt>
                <c:pt idx="25">
                  <c:v>45438</c:v>
                </c:pt>
                <c:pt idx="26">
                  <c:v>45439</c:v>
                </c:pt>
                <c:pt idx="27">
                  <c:v>45440</c:v>
                </c:pt>
                <c:pt idx="28">
                  <c:v>45441</c:v>
                </c:pt>
                <c:pt idx="29">
                  <c:v>45442</c:v>
                </c:pt>
              </c:numCache>
            </c:numRef>
          </c:cat>
          <c:val>
            <c:numRef>
              <c:f>[0]!opened</c:f>
              <c:numCache>
                <c:formatCode>General</c:formatCode>
                <c:ptCount val="30"/>
                <c:pt idx="0">
                  <c:v>0</c:v>
                </c:pt>
                <c:pt idx="1">
                  <c:v>0</c:v>
                </c:pt>
                <c:pt idx="2">
                  <c:v>0</c:v>
                </c:pt>
                <c:pt idx="3">
                  <c:v>0</c:v>
                </c:pt>
                <c:pt idx="4">
                  <c:v>2</c:v>
                </c:pt>
                <c:pt idx="5">
                  <c:v>2</c:v>
                </c:pt>
                <c:pt idx="6">
                  <c:v>2</c:v>
                </c:pt>
                <c:pt idx="7">
                  <c:v>3</c:v>
                </c:pt>
                <c:pt idx="8">
                  <c:v>3</c:v>
                </c:pt>
                <c:pt idx="9">
                  <c:v>3</c:v>
                </c:pt>
                <c:pt idx="10">
                  <c:v>5</c:v>
                </c:pt>
                <c:pt idx="11">
                  <c:v>6</c:v>
                </c:pt>
                <c:pt idx="12">
                  <c:v>6</c:v>
                </c:pt>
                <c:pt idx="13">
                  <c:v>6</c:v>
                </c:pt>
                <c:pt idx="14">
                  <c:v>7</c:v>
                </c:pt>
                <c:pt idx="15">
                  <c:v>7</c:v>
                </c:pt>
                <c:pt idx="16">
                  <c:v>10</c:v>
                </c:pt>
                <c:pt idx="17">
                  <c:v>10</c:v>
                </c:pt>
                <c:pt idx="18">
                  <c:v>10</c:v>
                </c:pt>
                <c:pt idx="19">
                  <c:v>10</c:v>
                </c:pt>
                <c:pt idx="20">
                  <c:v>11</c:v>
                </c:pt>
                <c:pt idx="21">
                  <c:v>11</c:v>
                </c:pt>
                <c:pt idx="22">
                  <c:v>11</c:v>
                </c:pt>
                <c:pt idx="23">
                  <c:v>12</c:v>
                </c:pt>
                <c:pt idx="24">
                  <c:v>13</c:v>
                </c:pt>
                <c:pt idx="25">
                  <c:v>13</c:v>
                </c:pt>
                <c:pt idx="26">
                  <c:v>13</c:v>
                </c:pt>
                <c:pt idx="27">
                  <c:v>13</c:v>
                </c:pt>
                <c:pt idx="28">
                  <c:v>13</c:v>
                </c:pt>
                <c:pt idx="29">
                  <c:v>14</c:v>
                </c:pt>
              </c:numCache>
            </c:numRef>
          </c:val>
          <c:smooth val="0"/>
          <c:extLst>
            <c:ext xmlns:c16="http://schemas.microsoft.com/office/drawing/2014/chart" uri="{C3380CC4-5D6E-409C-BE32-E72D297353CC}">
              <c16:uniqueId val="{00000001-1921-435A-A753-3C15F1417759}"/>
            </c:ext>
          </c:extLst>
        </c:ser>
        <c:ser>
          <c:idx val="1"/>
          <c:order val="1"/>
          <c:tx>
            <c:strRef>
              <c:f>calculations!$J$14</c:f>
              <c:strCache>
                <c:ptCount val="1"/>
                <c:pt idx="0">
                  <c:v>Closed</c:v>
                </c:pt>
              </c:strCache>
            </c:strRef>
          </c:tx>
          <c:spPr>
            <a:ln w="19050" cap="rnd" cmpd="sng" algn="ctr">
              <a:solidFill>
                <a:schemeClr val="accent4"/>
              </a:solidFill>
              <a:round/>
            </a:ln>
            <a:effectLst/>
          </c:spPr>
          <c:marker>
            <c:symbol val="circle"/>
            <c:size val="20"/>
            <c:spPr>
              <a:noFill/>
              <a:ln>
                <a:noFill/>
              </a:ln>
              <a:effectLst/>
            </c:spPr>
          </c:marker>
          <c:dLbls>
            <c:delete val="1"/>
          </c:dLbls>
          <c:cat>
            <c:numRef>
              <c:f>[0]!dates</c:f>
              <c:numCache>
                <c:formatCode>m/d/yyyy</c:formatCode>
                <c:ptCount val="30"/>
                <c:pt idx="0">
                  <c:v>45413</c:v>
                </c:pt>
                <c:pt idx="1">
                  <c:v>45414</c:v>
                </c:pt>
                <c:pt idx="2">
                  <c:v>45415</c:v>
                </c:pt>
                <c:pt idx="3">
                  <c:v>45416</c:v>
                </c:pt>
                <c:pt idx="4">
                  <c:v>45417</c:v>
                </c:pt>
                <c:pt idx="5">
                  <c:v>45418</c:v>
                </c:pt>
                <c:pt idx="6">
                  <c:v>45419</c:v>
                </c:pt>
                <c:pt idx="7">
                  <c:v>45420</c:v>
                </c:pt>
                <c:pt idx="8">
                  <c:v>45421</c:v>
                </c:pt>
                <c:pt idx="9">
                  <c:v>45422</c:v>
                </c:pt>
                <c:pt idx="10">
                  <c:v>45423</c:v>
                </c:pt>
                <c:pt idx="11">
                  <c:v>45424</c:v>
                </c:pt>
                <c:pt idx="12">
                  <c:v>45425</c:v>
                </c:pt>
                <c:pt idx="13">
                  <c:v>45426</c:v>
                </c:pt>
                <c:pt idx="14">
                  <c:v>45427</c:v>
                </c:pt>
                <c:pt idx="15">
                  <c:v>45428</c:v>
                </c:pt>
                <c:pt idx="16">
                  <c:v>45429</c:v>
                </c:pt>
                <c:pt idx="17">
                  <c:v>45430</c:v>
                </c:pt>
                <c:pt idx="18">
                  <c:v>45431</c:v>
                </c:pt>
                <c:pt idx="19">
                  <c:v>45432</c:v>
                </c:pt>
                <c:pt idx="20">
                  <c:v>45433</c:v>
                </c:pt>
                <c:pt idx="21">
                  <c:v>45434</c:v>
                </c:pt>
                <c:pt idx="22">
                  <c:v>45435</c:v>
                </c:pt>
                <c:pt idx="23">
                  <c:v>45436</c:v>
                </c:pt>
                <c:pt idx="24">
                  <c:v>45437</c:v>
                </c:pt>
                <c:pt idx="25">
                  <c:v>45438</c:v>
                </c:pt>
                <c:pt idx="26">
                  <c:v>45439</c:v>
                </c:pt>
                <c:pt idx="27">
                  <c:v>45440</c:v>
                </c:pt>
                <c:pt idx="28">
                  <c:v>45441</c:v>
                </c:pt>
                <c:pt idx="29">
                  <c:v>45442</c:v>
                </c:pt>
              </c:numCache>
            </c:numRef>
          </c:cat>
          <c:val>
            <c:numRef>
              <c:f>[0]!closed</c:f>
              <c:numCache>
                <c:formatCode>General</c:formatCode>
                <c:ptCount val="30"/>
                <c:pt idx="0">
                  <c:v>1</c:v>
                </c:pt>
                <c:pt idx="1">
                  <c:v>1</c:v>
                </c:pt>
                <c:pt idx="2">
                  <c:v>1</c:v>
                </c:pt>
                <c:pt idx="3">
                  <c:v>1</c:v>
                </c:pt>
                <c:pt idx="4">
                  <c:v>2</c:v>
                </c:pt>
                <c:pt idx="5">
                  <c:v>2</c:v>
                </c:pt>
                <c:pt idx="6">
                  <c:v>2</c:v>
                </c:pt>
                <c:pt idx="7">
                  <c:v>2</c:v>
                </c:pt>
                <c:pt idx="8">
                  <c:v>3</c:v>
                </c:pt>
                <c:pt idx="9">
                  <c:v>3</c:v>
                </c:pt>
                <c:pt idx="10">
                  <c:v>4</c:v>
                </c:pt>
                <c:pt idx="11">
                  <c:v>6</c:v>
                </c:pt>
                <c:pt idx="12">
                  <c:v>6</c:v>
                </c:pt>
                <c:pt idx="13">
                  <c:v>7</c:v>
                </c:pt>
                <c:pt idx="14">
                  <c:v>8</c:v>
                </c:pt>
                <c:pt idx="15">
                  <c:v>8</c:v>
                </c:pt>
                <c:pt idx="16">
                  <c:v>9</c:v>
                </c:pt>
                <c:pt idx="17">
                  <c:v>9</c:v>
                </c:pt>
                <c:pt idx="18">
                  <c:v>10</c:v>
                </c:pt>
                <c:pt idx="19">
                  <c:v>10</c:v>
                </c:pt>
                <c:pt idx="20">
                  <c:v>12</c:v>
                </c:pt>
                <c:pt idx="21">
                  <c:v>12</c:v>
                </c:pt>
                <c:pt idx="22">
                  <c:v>12</c:v>
                </c:pt>
                <c:pt idx="23">
                  <c:v>12</c:v>
                </c:pt>
                <c:pt idx="24">
                  <c:v>13</c:v>
                </c:pt>
                <c:pt idx="25">
                  <c:v>14</c:v>
                </c:pt>
                <c:pt idx="26">
                  <c:v>14</c:v>
                </c:pt>
                <c:pt idx="27">
                  <c:v>14</c:v>
                </c:pt>
                <c:pt idx="28">
                  <c:v>14</c:v>
                </c:pt>
                <c:pt idx="29">
                  <c:v>14</c:v>
                </c:pt>
              </c:numCache>
            </c:numRef>
          </c:val>
          <c:smooth val="0"/>
          <c:extLst>
            <c:ext xmlns:c16="http://schemas.microsoft.com/office/drawing/2014/chart" uri="{C3380CC4-5D6E-409C-BE32-E72D297353CC}">
              <c16:uniqueId val="{00000002-1921-435A-A753-3C15F1417759}"/>
            </c:ext>
          </c:extLst>
        </c:ser>
        <c:ser>
          <c:idx val="2"/>
          <c:order val="2"/>
          <c:tx>
            <c:v>Opened Lables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cat>
            <c:numRef>
              <c:f>[0]!dates</c:f>
              <c:numCache>
                <c:formatCode>m/d/yyyy</c:formatCode>
                <c:ptCount val="30"/>
                <c:pt idx="0">
                  <c:v>45413</c:v>
                </c:pt>
                <c:pt idx="1">
                  <c:v>45414</c:v>
                </c:pt>
                <c:pt idx="2">
                  <c:v>45415</c:v>
                </c:pt>
                <c:pt idx="3">
                  <c:v>45416</c:v>
                </c:pt>
                <c:pt idx="4">
                  <c:v>45417</c:v>
                </c:pt>
                <c:pt idx="5">
                  <c:v>45418</c:v>
                </c:pt>
                <c:pt idx="6">
                  <c:v>45419</c:v>
                </c:pt>
                <c:pt idx="7">
                  <c:v>45420</c:v>
                </c:pt>
                <c:pt idx="8">
                  <c:v>45421</c:v>
                </c:pt>
                <c:pt idx="9">
                  <c:v>45422</c:v>
                </c:pt>
                <c:pt idx="10">
                  <c:v>45423</c:v>
                </c:pt>
                <c:pt idx="11">
                  <c:v>45424</c:v>
                </c:pt>
                <c:pt idx="12">
                  <c:v>45425</c:v>
                </c:pt>
                <c:pt idx="13">
                  <c:v>45426</c:v>
                </c:pt>
                <c:pt idx="14">
                  <c:v>45427</c:v>
                </c:pt>
                <c:pt idx="15">
                  <c:v>45428</c:v>
                </c:pt>
                <c:pt idx="16">
                  <c:v>45429</c:v>
                </c:pt>
                <c:pt idx="17">
                  <c:v>45430</c:v>
                </c:pt>
                <c:pt idx="18">
                  <c:v>45431</c:v>
                </c:pt>
                <c:pt idx="19">
                  <c:v>45432</c:v>
                </c:pt>
                <c:pt idx="20">
                  <c:v>45433</c:v>
                </c:pt>
                <c:pt idx="21">
                  <c:v>45434</c:v>
                </c:pt>
                <c:pt idx="22">
                  <c:v>45435</c:v>
                </c:pt>
                <c:pt idx="23">
                  <c:v>45436</c:v>
                </c:pt>
                <c:pt idx="24">
                  <c:v>45437</c:v>
                </c:pt>
                <c:pt idx="25">
                  <c:v>45438</c:v>
                </c:pt>
                <c:pt idx="26">
                  <c:v>45439</c:v>
                </c:pt>
                <c:pt idx="27">
                  <c:v>45440</c:v>
                </c:pt>
                <c:pt idx="28">
                  <c:v>45441</c:v>
                </c:pt>
                <c:pt idx="29">
                  <c:v>45442</c:v>
                </c:pt>
              </c:numCache>
            </c:numRef>
          </c:cat>
          <c:val>
            <c:numRef>
              <c:f>[0]!opened_labels</c:f>
              <c:numCache>
                <c:formatCode>General</c:formatCode>
                <c:ptCount val="30"/>
                <c:pt idx="0">
                  <c:v>0.56000000000000005</c:v>
                </c:pt>
                <c:pt idx="1">
                  <c:v>0.56000000000000005</c:v>
                </c:pt>
                <c:pt idx="2">
                  <c:v>0.56000000000000005</c:v>
                </c:pt>
                <c:pt idx="3">
                  <c:v>0.56000000000000005</c:v>
                </c:pt>
                <c:pt idx="4">
                  <c:v>2.56</c:v>
                </c:pt>
                <c:pt idx="5">
                  <c:v>2.56</c:v>
                </c:pt>
                <c:pt idx="6">
                  <c:v>2.56</c:v>
                </c:pt>
                <c:pt idx="7">
                  <c:v>3.56</c:v>
                </c:pt>
                <c:pt idx="8">
                  <c:v>3.56</c:v>
                </c:pt>
                <c:pt idx="9">
                  <c:v>3.56</c:v>
                </c:pt>
                <c:pt idx="10">
                  <c:v>5.5600000000000005</c:v>
                </c:pt>
                <c:pt idx="11">
                  <c:v>6.5600000000000005</c:v>
                </c:pt>
                <c:pt idx="12">
                  <c:v>6.5600000000000005</c:v>
                </c:pt>
                <c:pt idx="13">
                  <c:v>6.5600000000000005</c:v>
                </c:pt>
                <c:pt idx="14">
                  <c:v>7.5600000000000005</c:v>
                </c:pt>
                <c:pt idx="15">
                  <c:v>7.5600000000000005</c:v>
                </c:pt>
                <c:pt idx="16">
                  <c:v>10.56</c:v>
                </c:pt>
                <c:pt idx="17">
                  <c:v>10.56</c:v>
                </c:pt>
                <c:pt idx="18">
                  <c:v>10.56</c:v>
                </c:pt>
                <c:pt idx="19">
                  <c:v>10.56</c:v>
                </c:pt>
                <c:pt idx="20">
                  <c:v>11.56</c:v>
                </c:pt>
                <c:pt idx="21">
                  <c:v>11.56</c:v>
                </c:pt>
                <c:pt idx="22">
                  <c:v>11.56</c:v>
                </c:pt>
                <c:pt idx="23">
                  <c:v>12.56</c:v>
                </c:pt>
                <c:pt idx="24">
                  <c:v>13.56</c:v>
                </c:pt>
                <c:pt idx="25">
                  <c:v>13.56</c:v>
                </c:pt>
                <c:pt idx="26">
                  <c:v>13.56</c:v>
                </c:pt>
                <c:pt idx="27">
                  <c:v>13.56</c:v>
                </c:pt>
                <c:pt idx="28">
                  <c:v>13.56</c:v>
                </c:pt>
                <c:pt idx="29">
                  <c:v>14.56</c:v>
                </c:pt>
              </c:numCache>
            </c:numRef>
          </c:val>
          <c:smooth val="0"/>
          <c:extLst>
            <c:ext xmlns:c16="http://schemas.microsoft.com/office/drawing/2014/chart" uri="{C3380CC4-5D6E-409C-BE32-E72D297353CC}">
              <c16:uniqueId val="{00000003-1921-435A-A753-3C15F1417759}"/>
            </c:ext>
          </c:extLst>
        </c:ser>
        <c:ser>
          <c:idx val="3"/>
          <c:order val="3"/>
          <c:tx>
            <c:v>Closed Labels</c:v>
          </c:tx>
          <c:spPr>
            <a:ln w="19050" cap="rnd" cmpd="sng" algn="ctr">
              <a:noFill/>
              <a:round/>
            </a:ln>
            <a:effectLst/>
          </c:spPr>
          <c:marker>
            <c:symbol val="none"/>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accent3"/>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35000"/>
                          <a:lumOff val="65000"/>
                        </a:schemeClr>
                      </a:solidFill>
                    </a:ln>
                    <a:effectLst/>
                  </c:spPr>
                </c15:leaderLines>
              </c:ext>
            </c:extLst>
          </c:dLbls>
          <c:val>
            <c:numRef>
              <c:f>[0]!closed_labels</c:f>
              <c:numCache>
                <c:formatCode>General</c:formatCode>
                <c:ptCount val="30"/>
                <c:pt idx="0">
                  <c:v>1.56</c:v>
                </c:pt>
                <c:pt idx="1">
                  <c:v>1.56</c:v>
                </c:pt>
                <c:pt idx="2">
                  <c:v>1.56</c:v>
                </c:pt>
                <c:pt idx="3">
                  <c:v>1.56</c:v>
                </c:pt>
                <c:pt idx="4">
                  <c:v>2.56</c:v>
                </c:pt>
                <c:pt idx="5">
                  <c:v>2.56</c:v>
                </c:pt>
                <c:pt idx="6">
                  <c:v>2.56</c:v>
                </c:pt>
                <c:pt idx="7">
                  <c:v>2.56</c:v>
                </c:pt>
                <c:pt idx="8">
                  <c:v>3.56</c:v>
                </c:pt>
                <c:pt idx="9">
                  <c:v>3.56</c:v>
                </c:pt>
                <c:pt idx="10">
                  <c:v>4.5600000000000005</c:v>
                </c:pt>
                <c:pt idx="11">
                  <c:v>6.5600000000000005</c:v>
                </c:pt>
                <c:pt idx="12">
                  <c:v>6.5600000000000005</c:v>
                </c:pt>
                <c:pt idx="13">
                  <c:v>7.5600000000000005</c:v>
                </c:pt>
                <c:pt idx="14">
                  <c:v>8.56</c:v>
                </c:pt>
                <c:pt idx="15">
                  <c:v>8.56</c:v>
                </c:pt>
                <c:pt idx="16">
                  <c:v>9.56</c:v>
                </c:pt>
                <c:pt idx="17">
                  <c:v>9.56</c:v>
                </c:pt>
                <c:pt idx="18">
                  <c:v>10.56</c:v>
                </c:pt>
                <c:pt idx="19">
                  <c:v>10.56</c:v>
                </c:pt>
                <c:pt idx="20">
                  <c:v>12.56</c:v>
                </c:pt>
                <c:pt idx="21">
                  <c:v>12.56</c:v>
                </c:pt>
                <c:pt idx="22">
                  <c:v>12.56</c:v>
                </c:pt>
                <c:pt idx="23">
                  <c:v>12.56</c:v>
                </c:pt>
                <c:pt idx="24">
                  <c:v>13.56</c:v>
                </c:pt>
                <c:pt idx="25">
                  <c:v>14.56</c:v>
                </c:pt>
                <c:pt idx="26">
                  <c:v>14.56</c:v>
                </c:pt>
                <c:pt idx="27">
                  <c:v>14.56</c:v>
                </c:pt>
                <c:pt idx="28">
                  <c:v>14.56</c:v>
                </c:pt>
                <c:pt idx="29">
                  <c:v>14.56</c:v>
                </c:pt>
              </c:numCache>
            </c:numRef>
          </c:val>
          <c:smooth val="0"/>
          <c:extLst>
            <c:ext xmlns:c16="http://schemas.microsoft.com/office/drawing/2014/chart" uri="{C3380CC4-5D6E-409C-BE32-E72D297353CC}">
              <c16:uniqueId val="{00000004-1921-435A-A753-3C15F1417759}"/>
            </c:ext>
          </c:extLst>
        </c:ser>
        <c:dLbls>
          <c:dLblPos val="ctr"/>
          <c:showLegendKey val="0"/>
          <c:showVal val="1"/>
          <c:showCatName val="0"/>
          <c:showSerName val="0"/>
          <c:showPercent val="0"/>
          <c:showBubbleSize val="0"/>
        </c:dLbls>
        <c:marker val="1"/>
        <c:smooth val="0"/>
        <c:axId val="175931448"/>
        <c:axId val="175838944"/>
      </c:lineChart>
      <c:dateAx>
        <c:axId val="175931448"/>
        <c:scaling>
          <c:orientation val="minMax"/>
        </c:scaling>
        <c:delete val="0"/>
        <c:axPos val="b"/>
        <c:majorGridlines>
          <c:spPr>
            <a:ln>
              <a:solidFill>
                <a:schemeClr val="tx1">
                  <a:lumMod val="50000"/>
                  <a:lumOff val="50000"/>
                </a:schemeClr>
              </a:solidFill>
            </a:ln>
            <a:effectLst/>
          </c:spPr>
        </c:majorGridlines>
        <c:numFmt formatCode="m/d/yy" sourceLinked="0"/>
        <c:majorTickMark val="out"/>
        <c:minorTickMark val="none"/>
        <c:tickLblPos val="nextTo"/>
        <c:spPr>
          <a:noFill/>
          <a:ln w="9525" cap="flat" cmpd="sng" algn="ctr">
            <a:noFill/>
            <a:round/>
          </a:ln>
          <a:effectLst/>
        </c:spPr>
        <c:txPr>
          <a:bodyPr rot="0" spcFirstLastPara="1" vertOverflow="ellipsis" wrap="square" anchor="ctr" anchorCtr="1"/>
          <a:lstStyle/>
          <a:p>
            <a:pPr>
              <a:defRPr sz="1050" b="0" i="0" u="none" strike="noStrike" kern="1200" baseline="0">
                <a:solidFill>
                  <a:schemeClr val="bg1"/>
                </a:solidFill>
                <a:latin typeface="+mn-lt"/>
                <a:ea typeface="+mn-ea"/>
                <a:cs typeface="+mn-cs"/>
              </a:defRPr>
            </a:pPr>
            <a:endParaRPr lang="en-US"/>
          </a:p>
        </c:txPr>
        <c:crossAx val="175838944"/>
        <c:crosses val="autoZero"/>
        <c:auto val="0"/>
        <c:lblOffset val="100"/>
        <c:baseTimeUnit val="days"/>
      </c:dateAx>
      <c:valAx>
        <c:axId val="175838944"/>
        <c:scaling>
          <c:orientation val="minMax"/>
        </c:scaling>
        <c:delete val="1"/>
        <c:axPos val="l"/>
        <c:numFmt formatCode="General" sourceLinked="1"/>
        <c:majorTickMark val="none"/>
        <c:minorTickMark val="none"/>
        <c:tickLblPos val="nextTo"/>
        <c:crossAx val="175931448"/>
        <c:crosses val="autoZero"/>
        <c:crossBetween val="between"/>
      </c:valAx>
      <c:spPr>
        <a:solidFill>
          <a:schemeClr val="tx1">
            <a:lumMod val="75000"/>
            <a:lumOff val="25000"/>
          </a:schemeClr>
        </a:solidFill>
        <a:ln w="3175">
          <a:solidFill>
            <a:schemeClr val="tx1">
              <a:lumMod val="50000"/>
              <a:lumOff val="50000"/>
            </a:schemeClr>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3"/>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2</xdr:row>
      <xdr:rowOff>3008</xdr:rowOff>
    </xdr:from>
    <xdr:to>
      <xdr:col>9</xdr:col>
      <xdr:colOff>2076450</xdr:colOff>
      <xdr:row>3</xdr:row>
      <xdr:rowOff>2038350</xdr:rowOff>
    </xdr:to>
    <xdr:grpSp>
      <xdr:nvGrpSpPr>
        <xdr:cNvPr id="3" name="Group 2" descr="Issue Tracker Chart showing Opened vs. Closed issues per day for a given time frame">
          <a:extLst>
            <a:ext uri="{FF2B5EF4-FFF2-40B4-BE49-F238E27FC236}">
              <a16:creationId xmlns:a16="http://schemas.microsoft.com/office/drawing/2014/main" id="{593B0E4C-A837-431D-BC84-DA8951743A11}"/>
            </a:ext>
          </a:extLst>
        </xdr:cNvPr>
        <xdr:cNvGrpSpPr/>
      </xdr:nvGrpSpPr>
      <xdr:grpSpPr>
        <a:xfrm>
          <a:off x="9525" y="831683"/>
          <a:ext cx="13115925" cy="4378492"/>
          <a:chOff x="9525" y="831683"/>
          <a:chExt cx="13115925" cy="4378492"/>
        </a:xfrm>
      </xdr:grpSpPr>
      <xdr:sp macro="" textlink="">
        <xdr:nvSpPr>
          <xdr:cNvPr id="4" name="TextBox 2" descr="Background fill for chart's horizontal axis">
            <a:extLst>
              <a:ext uri="{FF2B5EF4-FFF2-40B4-BE49-F238E27FC236}">
                <a16:creationId xmlns:a16="http://schemas.microsoft.com/office/drawing/2014/main" id="{00000000-0008-0000-0000-000004000000}"/>
              </a:ext>
            </a:extLst>
          </xdr:cNvPr>
          <xdr:cNvSpPr txBox="1"/>
        </xdr:nvSpPr>
        <xdr:spPr>
          <a:xfrm>
            <a:off x="200025" y="4848225"/>
            <a:ext cx="12868276" cy="361950"/>
          </a:xfrm>
          <a:prstGeom prst="rect">
            <a:avLst/>
          </a:prstGeom>
          <a:solidFill>
            <a:schemeClr val="tx1">
              <a:lumMod val="75000"/>
              <a:lumOff val="25000"/>
            </a:schemeClr>
          </a:solidFill>
          <a:ln w="317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endParaRPr lang="en-US" sz="1100"/>
          </a:p>
        </xdr:txBody>
      </xdr:sp>
      <xdr:graphicFrame macro="">
        <xdr:nvGraphicFramePr>
          <xdr:cNvPr id="2" name="Chart 1" descr="Issue Tracker Chart showing Opened vs. Closed issues per day for a given time frame">
            <a:extLst>
              <a:ext uri="{FF2B5EF4-FFF2-40B4-BE49-F238E27FC236}">
                <a16:creationId xmlns:a16="http://schemas.microsoft.com/office/drawing/2014/main" id="{00000000-0008-0000-0000-000002000000}"/>
              </a:ext>
            </a:extLst>
          </xdr:cNvPr>
          <xdr:cNvGraphicFramePr/>
        </xdr:nvGraphicFramePr>
        <xdr:xfrm>
          <a:off x="9525" y="831683"/>
          <a:ext cx="13115925" cy="4247023"/>
        </xdr:xfrm>
        <a:graphic>
          <a:graphicData uri="http://schemas.openxmlformats.org/drawingml/2006/chart">
            <c:chart xmlns:c="http://schemas.openxmlformats.org/drawingml/2006/chart" xmlns:r="http://schemas.openxmlformats.org/officeDocument/2006/relationships" r:id="rId1"/>
          </a:graphicData>
        </a:graphic>
      </xdr:graphicFrame>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Issues" displayName="Issues" ref="B5:J96" totalsRowShown="0" headerRowCellStyle="Heading 2">
  <autoFilter ref="B5:J96" xr:uid="{00000000-0009-0000-0100-000001000000}"/>
  <tableColumns count="9">
    <tableColumn id="10" xr3:uid="{00000000-0010-0000-0000-00000A000000}" name="#" dataCellStyle="Normal"/>
    <tableColumn id="1" xr3:uid="{00000000-0010-0000-0000-000001000000}" name="ISSUE" dataCellStyle="Normal"/>
    <tableColumn id="2" xr3:uid="{00000000-0010-0000-0000-000002000000}" name="TYPE" dataCellStyle="Normal"/>
    <tableColumn id="3" xr3:uid="{00000000-0010-0000-0000-000003000000}" name="PRIORITY" dataCellStyle="Normal"/>
    <tableColumn id="4" xr3:uid="{00000000-0010-0000-0000-000004000000}" name="OPENED ON" dataCellStyle="Date"/>
    <tableColumn id="5" xr3:uid="{00000000-0010-0000-0000-000005000000}" name="OPENED BY" dataCellStyle="Normal"/>
    <tableColumn id="7" xr3:uid="{00000000-0010-0000-0000-000007000000}" name="CLOSED ON" dataCellStyle="Date"/>
    <tableColumn id="8" xr3:uid="{00000000-0010-0000-0000-000008000000}" name="CLOSED BY" dataCellStyle="Normal"/>
    <tableColumn id="9" xr3:uid="{00000000-0010-0000-0000-000009000000}" name="NOTES"/>
  </tableColumns>
  <tableStyleInfo name="Project Issue Tracker" showFirstColumn="0" showLastColumn="0" showRowStripes="1" showColumnStripes="0"/>
  <extLst>
    <ext xmlns:x14="http://schemas.microsoft.com/office/spreadsheetml/2009/9/main" uri="{504A1905-F514-4f6f-8877-14C23A59335A}">
      <x14:table altTextSummary="Enter issue Number, description, Type,Priority, Opening &amp; Closing Date, Opened By &amp; Closed By names, and Notes in this table"/>
    </ext>
  </extLst>
</table>
</file>

<file path=xl/theme/theme1.xml><?xml version="1.0" encoding="utf-8"?>
<a:theme xmlns:a="http://schemas.openxmlformats.org/drawingml/2006/main" name="Office Theme">
  <a:themeElements>
    <a:clrScheme name="Project Issue Tracker">
      <a:dk1>
        <a:sysClr val="windowText" lastClr="000000"/>
      </a:dk1>
      <a:lt1>
        <a:sysClr val="window" lastClr="FFFFFF"/>
      </a:lt1>
      <a:dk2>
        <a:srgbClr val="0D1C35"/>
      </a:dk2>
      <a:lt2>
        <a:srgbClr val="EBEAD4"/>
      </a:lt2>
      <a:accent1>
        <a:srgbClr val="5BD2D5"/>
      </a:accent1>
      <a:accent2>
        <a:srgbClr val="0096D1"/>
      </a:accent2>
      <a:accent3>
        <a:srgbClr val="FCB606"/>
      </a:accent3>
      <a:accent4>
        <a:srgbClr val="EF6237"/>
      </a:accent4>
      <a:accent5>
        <a:srgbClr val="93CE3E"/>
      </a:accent5>
      <a:accent6>
        <a:srgbClr val="7F52AA"/>
      </a:accent6>
      <a:hlink>
        <a:srgbClr val="5BD2D5"/>
      </a:hlink>
      <a:folHlink>
        <a:srgbClr val="7F52AA"/>
      </a:folHlink>
    </a:clrScheme>
    <a:fontScheme name="198">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pageSetUpPr fitToPage="1"/>
  </sheetPr>
  <dimension ref="A1:J96"/>
  <sheetViews>
    <sheetView showGridLines="0" tabSelected="1" zoomScaleNormal="100" workbookViewId="0"/>
  </sheetViews>
  <sheetFormatPr defaultRowHeight="30" customHeight="1" x14ac:dyDescent="0.25"/>
  <cols>
    <col min="1" max="1" width="2.625" customWidth="1"/>
    <col min="2" max="2" width="6.25" customWidth="1"/>
    <col min="3" max="3" width="27.375" customWidth="1"/>
    <col min="4" max="9" width="18.125" customWidth="1"/>
    <col min="10" max="10" width="27.375" customWidth="1"/>
    <col min="11" max="11" width="2.625" customWidth="1"/>
  </cols>
  <sheetData>
    <row r="1" spans="1:10" ht="45" customHeight="1" thickTop="1" x14ac:dyDescent="0.4">
      <c r="B1" s="9" t="s">
        <v>127</v>
      </c>
      <c r="C1" s="9"/>
      <c r="D1" s="9"/>
      <c r="E1" s="9"/>
      <c r="F1" s="9"/>
      <c r="G1" s="3" t="s">
        <v>116</v>
      </c>
      <c r="H1" s="3" t="s">
        <v>117</v>
      </c>
      <c r="I1" s="3" t="s">
        <v>124</v>
      </c>
      <c r="J1" s="3" t="s">
        <v>125</v>
      </c>
    </row>
    <row r="2" spans="1:10" ht="20.25" customHeight="1" x14ac:dyDescent="0.25">
      <c r="B2" s="10"/>
      <c r="C2" s="10"/>
      <c r="D2" s="10"/>
      <c r="E2" s="10"/>
      <c r="F2" s="10"/>
      <c r="G2" s="7" t="s">
        <v>47</v>
      </c>
      <c r="H2" s="7" t="s">
        <v>47</v>
      </c>
      <c r="I2" s="8">
        <f ca="1">DATE(YEAR(TODAY()),5,30)</f>
        <v>45442</v>
      </c>
      <c r="J2" s="7">
        <v>30</v>
      </c>
    </row>
    <row r="3" spans="1:10" ht="185.1" customHeight="1" x14ac:dyDescent="0.25">
      <c r="A3" s="11" t="s">
        <v>126</v>
      </c>
      <c r="B3" s="11"/>
      <c r="C3" s="11"/>
      <c r="D3" s="11"/>
      <c r="E3" s="11"/>
      <c r="F3" s="11"/>
      <c r="G3" s="11"/>
      <c r="H3" s="11"/>
      <c r="I3" s="11"/>
      <c r="J3" s="11"/>
    </row>
    <row r="4" spans="1:10" ht="185.1" customHeight="1" x14ac:dyDescent="0.25">
      <c r="A4" s="11"/>
      <c r="B4" s="11"/>
      <c r="C4" s="11"/>
      <c r="D4" s="11"/>
      <c r="E4" s="11"/>
      <c r="F4" s="11"/>
      <c r="G4" s="11"/>
      <c r="H4" s="11"/>
      <c r="I4" s="11"/>
      <c r="J4" s="11"/>
    </row>
    <row r="5" spans="1:10" ht="30" customHeight="1" x14ac:dyDescent="0.25">
      <c r="B5" s="4" t="s">
        <v>2</v>
      </c>
      <c r="C5" s="4" t="s">
        <v>115</v>
      </c>
      <c r="D5" s="4" t="s">
        <v>116</v>
      </c>
      <c r="E5" s="4" t="s">
        <v>117</v>
      </c>
      <c r="F5" s="5" t="s">
        <v>118</v>
      </c>
      <c r="G5" s="4" t="s">
        <v>119</v>
      </c>
      <c r="H5" s="6" t="s">
        <v>120</v>
      </c>
      <c r="I5" s="4" t="s">
        <v>121</v>
      </c>
      <c r="J5" s="4" t="s">
        <v>122</v>
      </c>
    </row>
    <row r="6" spans="1:10" ht="30" customHeight="1" x14ac:dyDescent="0.25">
      <c r="B6">
        <v>1</v>
      </c>
      <c r="C6" t="s">
        <v>3</v>
      </c>
      <c r="D6" t="s">
        <v>105</v>
      </c>
      <c r="E6" t="s">
        <v>106</v>
      </c>
      <c r="F6" s="2">
        <f ca="1">DATE(YEAR(TODAY()),2,1)</f>
        <v>45323</v>
      </c>
      <c r="G6" t="s">
        <v>107</v>
      </c>
      <c r="H6" s="2">
        <f ca="1">DATE(YEAR(TODAY()),2,4)</f>
        <v>45326</v>
      </c>
      <c r="I6" t="s">
        <v>107</v>
      </c>
    </row>
    <row r="7" spans="1:10" ht="30" customHeight="1" x14ac:dyDescent="0.25">
      <c r="B7">
        <v>2</v>
      </c>
      <c r="C7" t="s">
        <v>4</v>
      </c>
      <c r="D7" t="s">
        <v>105</v>
      </c>
      <c r="E7" t="s">
        <v>108</v>
      </c>
      <c r="F7" s="2">
        <f ca="1">DATE(YEAR(TODAY()),2,1)</f>
        <v>45323</v>
      </c>
      <c r="G7" t="s">
        <v>109</v>
      </c>
      <c r="H7" s="2">
        <f ca="1">DATE(YEAR(TODAY()),2,1)</f>
        <v>45323</v>
      </c>
      <c r="I7" t="s">
        <v>107</v>
      </c>
    </row>
    <row r="8" spans="1:10" ht="30" customHeight="1" x14ac:dyDescent="0.25">
      <c r="B8">
        <v>3</v>
      </c>
      <c r="C8" t="s">
        <v>5</v>
      </c>
      <c r="D8" t="s">
        <v>110</v>
      </c>
      <c r="E8" t="s">
        <v>108</v>
      </c>
      <c r="F8" s="2">
        <f ca="1">DATE(YEAR(TODAY()),2,4)</f>
        <v>45326</v>
      </c>
      <c r="G8" t="s">
        <v>111</v>
      </c>
      <c r="H8" s="2">
        <f ca="1">DATE(YEAR(TODAY()),2,4)</f>
        <v>45326</v>
      </c>
      <c r="I8" t="s">
        <v>111</v>
      </c>
    </row>
    <row r="9" spans="1:10" ht="30" customHeight="1" x14ac:dyDescent="0.25">
      <c r="B9">
        <v>4</v>
      </c>
      <c r="C9" t="s">
        <v>6</v>
      </c>
      <c r="D9" t="s">
        <v>103</v>
      </c>
      <c r="E9" t="s">
        <v>106</v>
      </c>
      <c r="F9" s="2">
        <f t="shared" ref="F9:F10" ca="1" si="0">DATE(YEAR(TODAY()),2,4)</f>
        <v>45326</v>
      </c>
      <c r="G9" t="s">
        <v>111</v>
      </c>
      <c r="H9" s="2">
        <f ca="1">DATE(YEAR(TODAY()),2,5)</f>
        <v>45327</v>
      </c>
      <c r="I9" t="s">
        <v>111</v>
      </c>
    </row>
    <row r="10" spans="1:10" ht="30" customHeight="1" x14ac:dyDescent="0.25">
      <c r="B10">
        <v>5</v>
      </c>
      <c r="C10" t="s">
        <v>7</v>
      </c>
      <c r="D10" t="s">
        <v>103</v>
      </c>
      <c r="E10" t="s">
        <v>106</v>
      </c>
      <c r="F10" s="2">
        <f t="shared" ca="1" si="0"/>
        <v>45326</v>
      </c>
      <c r="G10" t="s">
        <v>107</v>
      </c>
      <c r="H10" s="2">
        <f ca="1">DATE(YEAR(TODAY()),2,4)</f>
        <v>45326</v>
      </c>
      <c r="I10" t="s">
        <v>112</v>
      </c>
    </row>
    <row r="11" spans="1:10" ht="30" customHeight="1" x14ac:dyDescent="0.25">
      <c r="B11">
        <v>6</v>
      </c>
      <c r="C11" t="s">
        <v>8</v>
      </c>
      <c r="D11" t="s">
        <v>103</v>
      </c>
      <c r="E11" t="s">
        <v>108</v>
      </c>
      <c r="F11" s="2">
        <f ca="1">DATE(YEAR(TODAY()),2,8)</f>
        <v>45330</v>
      </c>
      <c r="G11" t="s">
        <v>112</v>
      </c>
      <c r="H11" s="2">
        <f ca="1">DATE(YEAR(TODAY()),2,8)</f>
        <v>45330</v>
      </c>
      <c r="I11" t="s">
        <v>107</v>
      </c>
    </row>
    <row r="12" spans="1:10" ht="30" customHeight="1" x14ac:dyDescent="0.25">
      <c r="B12">
        <v>7</v>
      </c>
      <c r="C12" t="s">
        <v>9</v>
      </c>
      <c r="D12" t="s">
        <v>103</v>
      </c>
      <c r="E12" t="s">
        <v>104</v>
      </c>
      <c r="F12" s="2">
        <f t="shared" ref="F12:F14" ca="1" si="1">DATE(YEAR(TODAY()),2,8)</f>
        <v>45330</v>
      </c>
      <c r="G12" t="s">
        <v>109</v>
      </c>
      <c r="H12" s="2">
        <f ca="1">DATE(YEAR(TODAY()),2,13)</f>
        <v>45335</v>
      </c>
      <c r="I12" t="s">
        <v>107</v>
      </c>
    </row>
    <row r="13" spans="1:10" ht="30" customHeight="1" x14ac:dyDescent="0.25">
      <c r="B13">
        <v>8</v>
      </c>
      <c r="C13" t="s">
        <v>10</v>
      </c>
      <c r="D13" t="s">
        <v>105</v>
      </c>
      <c r="E13" t="s">
        <v>106</v>
      </c>
      <c r="F13" s="2">
        <f t="shared" ca="1" si="1"/>
        <v>45330</v>
      </c>
      <c r="G13" t="s">
        <v>109</v>
      </c>
      <c r="H13" s="2">
        <f ca="1">DATE(YEAR(TODAY()),2,11)</f>
        <v>45333</v>
      </c>
      <c r="I13" t="s">
        <v>107</v>
      </c>
    </row>
    <row r="14" spans="1:10" ht="30" customHeight="1" x14ac:dyDescent="0.25">
      <c r="B14">
        <v>9</v>
      </c>
      <c r="C14" t="s">
        <v>11</v>
      </c>
      <c r="D14" t="s">
        <v>110</v>
      </c>
      <c r="E14" t="s">
        <v>106</v>
      </c>
      <c r="F14" s="2">
        <f t="shared" ca="1" si="1"/>
        <v>45330</v>
      </c>
      <c r="G14" t="s">
        <v>109</v>
      </c>
      <c r="H14" s="2">
        <f ca="1">DATE(YEAR(TODAY()),2,11)</f>
        <v>45333</v>
      </c>
      <c r="I14" t="s">
        <v>109</v>
      </c>
    </row>
    <row r="15" spans="1:10" ht="30" customHeight="1" x14ac:dyDescent="0.25">
      <c r="B15">
        <v>10</v>
      </c>
      <c r="C15" t="s">
        <v>12</v>
      </c>
      <c r="D15" t="s">
        <v>113</v>
      </c>
      <c r="E15" t="s">
        <v>104</v>
      </c>
      <c r="F15" s="2">
        <f ca="1">DATE(YEAR(TODAY()),2,12)</f>
        <v>45334</v>
      </c>
      <c r="G15" t="s">
        <v>112</v>
      </c>
      <c r="H15" s="2">
        <f ca="1">DATE(YEAR(TODAY()),2,12)</f>
        <v>45334</v>
      </c>
      <c r="I15" t="s">
        <v>111</v>
      </c>
    </row>
    <row r="16" spans="1:10" ht="30" customHeight="1" x14ac:dyDescent="0.25">
      <c r="B16">
        <v>11</v>
      </c>
      <c r="C16" t="s">
        <v>13</v>
      </c>
      <c r="D16" t="s">
        <v>105</v>
      </c>
      <c r="E16" t="s">
        <v>106</v>
      </c>
      <c r="F16" s="2">
        <f ca="1">DATE(YEAR(TODAY()),2,12)</f>
        <v>45334</v>
      </c>
      <c r="G16" t="s">
        <v>109</v>
      </c>
      <c r="H16" s="2">
        <f ca="1">DATE(YEAR(TODAY()),2,13)</f>
        <v>45335</v>
      </c>
      <c r="I16" t="s">
        <v>111</v>
      </c>
    </row>
    <row r="17" spans="2:9" ht="30" customHeight="1" x14ac:dyDescent="0.25">
      <c r="B17">
        <v>12</v>
      </c>
      <c r="C17" t="s">
        <v>14</v>
      </c>
      <c r="D17" t="s">
        <v>103</v>
      </c>
      <c r="E17" t="s">
        <v>104</v>
      </c>
      <c r="F17" s="2">
        <f ca="1">DATE(YEAR(TODAY()),2,15)</f>
        <v>45337</v>
      </c>
      <c r="G17" t="s">
        <v>112</v>
      </c>
      <c r="H17" s="2">
        <f ca="1">DATE(YEAR(TODAY()),2,18)</f>
        <v>45340</v>
      </c>
      <c r="I17" t="s">
        <v>107</v>
      </c>
    </row>
    <row r="18" spans="2:9" ht="30" customHeight="1" x14ac:dyDescent="0.25">
      <c r="B18">
        <v>13</v>
      </c>
      <c r="C18" t="s">
        <v>15</v>
      </c>
      <c r="D18" t="s">
        <v>105</v>
      </c>
      <c r="E18" t="s">
        <v>104</v>
      </c>
      <c r="F18" s="2">
        <f ca="1">DATE(YEAR(TODAY()),2,20)</f>
        <v>45342</v>
      </c>
      <c r="G18" t="s">
        <v>109</v>
      </c>
      <c r="H18" s="2">
        <f ca="1">DATE(YEAR(TODAY()),2,20)</f>
        <v>45342</v>
      </c>
      <c r="I18" t="s">
        <v>109</v>
      </c>
    </row>
    <row r="19" spans="2:9" ht="30" customHeight="1" x14ac:dyDescent="0.25">
      <c r="B19">
        <v>14</v>
      </c>
      <c r="C19" t="s">
        <v>16</v>
      </c>
      <c r="D19" t="s">
        <v>105</v>
      </c>
      <c r="E19" t="s">
        <v>104</v>
      </c>
      <c r="F19" s="2">
        <f ca="1">DATE(YEAR(TODAY()),2,23)</f>
        <v>45345</v>
      </c>
      <c r="G19" t="s">
        <v>112</v>
      </c>
      <c r="H19" s="2">
        <f ca="1">DATE(YEAR(TODAY()),2,23)</f>
        <v>45345</v>
      </c>
      <c r="I19" t="s">
        <v>107</v>
      </c>
    </row>
    <row r="20" spans="2:9" ht="30" customHeight="1" x14ac:dyDescent="0.25">
      <c r="B20">
        <v>15</v>
      </c>
      <c r="C20" t="s">
        <v>17</v>
      </c>
      <c r="D20" t="s">
        <v>105</v>
      </c>
      <c r="E20" t="s">
        <v>108</v>
      </c>
      <c r="F20" s="2">
        <f ca="1">DATE(YEAR(TODAY()),2,26)</f>
        <v>45348</v>
      </c>
      <c r="G20" t="s">
        <v>107</v>
      </c>
      <c r="H20" s="2">
        <f ca="1">DATE(YEAR(TODAY()),2,27)</f>
        <v>45349</v>
      </c>
      <c r="I20" t="s">
        <v>111</v>
      </c>
    </row>
    <row r="21" spans="2:9" ht="30" customHeight="1" x14ac:dyDescent="0.25">
      <c r="B21">
        <v>16</v>
      </c>
      <c r="C21" t="s">
        <v>18</v>
      </c>
      <c r="D21" t="s">
        <v>113</v>
      </c>
      <c r="E21" t="s">
        <v>106</v>
      </c>
      <c r="F21" s="2">
        <f t="shared" ref="F21:F22" ca="1" si="2">DATE(YEAR(TODAY()),2,26)</f>
        <v>45348</v>
      </c>
      <c r="G21" t="s">
        <v>111</v>
      </c>
      <c r="H21" s="2">
        <f ca="1">DATE(YEAR(TODAY()),2,26)</f>
        <v>45348</v>
      </c>
      <c r="I21" t="s">
        <v>107</v>
      </c>
    </row>
    <row r="22" spans="2:9" ht="30" customHeight="1" x14ac:dyDescent="0.25">
      <c r="B22">
        <v>17</v>
      </c>
      <c r="C22" t="s">
        <v>19</v>
      </c>
      <c r="D22" t="s">
        <v>105</v>
      </c>
      <c r="E22" t="s">
        <v>108</v>
      </c>
      <c r="F22" s="2">
        <f t="shared" ca="1" si="2"/>
        <v>45348</v>
      </c>
      <c r="G22" t="s">
        <v>112</v>
      </c>
      <c r="H22" s="2">
        <f ca="1">DATE(YEAR(TODAY()),2,26)</f>
        <v>45348</v>
      </c>
      <c r="I22" t="s">
        <v>112</v>
      </c>
    </row>
    <row r="23" spans="2:9" ht="30" customHeight="1" x14ac:dyDescent="0.25">
      <c r="B23">
        <v>18</v>
      </c>
      <c r="C23" t="s">
        <v>20</v>
      </c>
      <c r="D23" t="s">
        <v>110</v>
      </c>
      <c r="E23" t="s">
        <v>104</v>
      </c>
      <c r="F23" s="2">
        <f ca="1">DATE(YEAR(TODAY()),2,27)</f>
        <v>45349</v>
      </c>
      <c r="G23" t="s">
        <v>111</v>
      </c>
      <c r="H23" s="2">
        <f ca="1">DATE(YEAR(TODAY()),2,27)</f>
        <v>45349</v>
      </c>
      <c r="I23" t="s">
        <v>111</v>
      </c>
    </row>
    <row r="24" spans="2:9" ht="30" customHeight="1" x14ac:dyDescent="0.25">
      <c r="B24">
        <v>19</v>
      </c>
      <c r="C24" t="s">
        <v>21</v>
      </c>
      <c r="D24" t="s">
        <v>105</v>
      </c>
      <c r="E24" t="s">
        <v>108</v>
      </c>
      <c r="F24" s="2">
        <f ca="1">DATE(YEAR(TODAY()),2,27)</f>
        <v>45349</v>
      </c>
      <c r="G24" t="s">
        <v>112</v>
      </c>
      <c r="H24" s="2">
        <f ca="1">DATE(YEAR(TODAY()),2,27)</f>
        <v>45349</v>
      </c>
      <c r="I24" t="s">
        <v>111</v>
      </c>
    </row>
    <row r="25" spans="2:9" ht="30" customHeight="1" x14ac:dyDescent="0.25">
      <c r="B25">
        <v>20</v>
      </c>
      <c r="C25" t="s">
        <v>22</v>
      </c>
      <c r="D25" t="s">
        <v>110</v>
      </c>
      <c r="E25" t="s">
        <v>108</v>
      </c>
      <c r="F25" s="2">
        <f ca="1">DATE(YEAR(TODAY()),3,4)</f>
        <v>45355</v>
      </c>
      <c r="G25" t="s">
        <v>111</v>
      </c>
      <c r="H25" s="2">
        <f ca="1">DATE(YEAR(TODAY()),3,4)</f>
        <v>45355</v>
      </c>
      <c r="I25" t="s">
        <v>112</v>
      </c>
    </row>
    <row r="26" spans="2:9" ht="30" customHeight="1" x14ac:dyDescent="0.25">
      <c r="B26">
        <v>21</v>
      </c>
      <c r="C26" t="s">
        <v>23</v>
      </c>
      <c r="D26" t="s">
        <v>113</v>
      </c>
      <c r="E26" t="s">
        <v>108</v>
      </c>
      <c r="F26" s="2">
        <f t="shared" ref="F26:F27" ca="1" si="3">DATE(YEAR(TODAY()),3,4)</f>
        <v>45355</v>
      </c>
      <c r="G26" t="s">
        <v>111</v>
      </c>
      <c r="H26" s="2">
        <f ca="1">DATE(YEAR(TODAY()),3,7)</f>
        <v>45358</v>
      </c>
      <c r="I26" t="s">
        <v>109</v>
      </c>
    </row>
    <row r="27" spans="2:9" ht="30" customHeight="1" x14ac:dyDescent="0.25">
      <c r="B27">
        <v>22</v>
      </c>
      <c r="C27" t="s">
        <v>24</v>
      </c>
      <c r="D27" t="s">
        <v>110</v>
      </c>
      <c r="E27" t="s">
        <v>108</v>
      </c>
      <c r="F27" s="2">
        <f t="shared" ca="1" si="3"/>
        <v>45355</v>
      </c>
      <c r="G27" t="s">
        <v>112</v>
      </c>
      <c r="H27" s="2">
        <f ca="1">DATE(YEAR(TODAY()),3,9)</f>
        <v>45360</v>
      </c>
      <c r="I27" t="s">
        <v>109</v>
      </c>
    </row>
    <row r="28" spans="2:9" ht="30" customHeight="1" x14ac:dyDescent="0.25">
      <c r="B28">
        <v>23</v>
      </c>
      <c r="C28" t="s">
        <v>25</v>
      </c>
      <c r="D28" t="s">
        <v>110</v>
      </c>
      <c r="E28" t="s">
        <v>106</v>
      </c>
      <c r="F28" s="2">
        <f ca="1">DATE(YEAR(TODAY()),3,5)</f>
        <v>45356</v>
      </c>
      <c r="G28" t="s">
        <v>109</v>
      </c>
      <c r="H28" s="2">
        <f ca="1">DATE(YEAR(TODAY()),3,5)</f>
        <v>45356</v>
      </c>
      <c r="I28" t="s">
        <v>107</v>
      </c>
    </row>
    <row r="29" spans="2:9" ht="30" customHeight="1" x14ac:dyDescent="0.25">
      <c r="B29">
        <v>24</v>
      </c>
      <c r="C29" t="s">
        <v>26</v>
      </c>
      <c r="D29" t="s">
        <v>110</v>
      </c>
      <c r="E29" t="s">
        <v>106</v>
      </c>
      <c r="F29" s="2">
        <f ca="1">DATE(YEAR(TODAY()),3,5)</f>
        <v>45356</v>
      </c>
      <c r="G29" t="s">
        <v>111</v>
      </c>
      <c r="H29" s="2">
        <f ca="1">DATE(YEAR(TODAY()),3,5)</f>
        <v>45356</v>
      </c>
      <c r="I29" t="s">
        <v>107</v>
      </c>
    </row>
    <row r="30" spans="2:9" ht="30" customHeight="1" x14ac:dyDescent="0.25">
      <c r="B30">
        <v>25</v>
      </c>
      <c r="C30" t="s">
        <v>27</v>
      </c>
      <c r="D30" t="s">
        <v>103</v>
      </c>
      <c r="E30" t="s">
        <v>104</v>
      </c>
      <c r="F30" s="2">
        <f ca="1">DATE(YEAR(TODAY()),3,6)</f>
        <v>45357</v>
      </c>
      <c r="G30" t="s">
        <v>109</v>
      </c>
      <c r="H30" s="2">
        <f ca="1">DATE(YEAR(TODAY()),3,10)</f>
        <v>45361</v>
      </c>
      <c r="I30" t="s">
        <v>112</v>
      </c>
    </row>
    <row r="31" spans="2:9" ht="30" customHeight="1" x14ac:dyDescent="0.25">
      <c r="B31">
        <v>26</v>
      </c>
      <c r="C31" t="s">
        <v>28</v>
      </c>
      <c r="D31" t="s">
        <v>103</v>
      </c>
      <c r="E31" t="s">
        <v>104</v>
      </c>
      <c r="F31" s="2">
        <f t="shared" ref="F31:F32" ca="1" si="4">DATE(YEAR(TODAY()),3,6)</f>
        <v>45357</v>
      </c>
      <c r="G31" t="s">
        <v>109</v>
      </c>
      <c r="H31" s="2">
        <f ca="1">DATE(YEAR(TODAY()),3,8)</f>
        <v>45359</v>
      </c>
      <c r="I31" t="s">
        <v>109</v>
      </c>
    </row>
    <row r="32" spans="2:9" ht="30" customHeight="1" x14ac:dyDescent="0.25">
      <c r="B32">
        <v>27</v>
      </c>
      <c r="C32" t="s">
        <v>29</v>
      </c>
      <c r="D32" t="s">
        <v>103</v>
      </c>
      <c r="E32" t="s">
        <v>104</v>
      </c>
      <c r="F32" s="2">
        <f t="shared" ca="1" si="4"/>
        <v>45357</v>
      </c>
      <c r="G32" t="s">
        <v>107</v>
      </c>
      <c r="H32" s="2">
        <f ca="1">DATE(YEAR(TODAY()),3,8)</f>
        <v>45359</v>
      </c>
      <c r="I32" t="s">
        <v>112</v>
      </c>
    </row>
    <row r="33" spans="2:9" ht="30" customHeight="1" x14ac:dyDescent="0.25">
      <c r="B33">
        <v>28</v>
      </c>
      <c r="C33" t="s">
        <v>30</v>
      </c>
      <c r="D33" t="s">
        <v>113</v>
      </c>
      <c r="E33" t="s">
        <v>108</v>
      </c>
      <c r="F33" s="2">
        <f ca="1">DATE(YEAR(TODAY()),3,11)</f>
        <v>45362</v>
      </c>
      <c r="G33" t="s">
        <v>112</v>
      </c>
      <c r="H33" s="2">
        <f ca="1">DATE(YEAR(TODAY()),3,12)</f>
        <v>45363</v>
      </c>
      <c r="I33" t="s">
        <v>107</v>
      </c>
    </row>
    <row r="34" spans="2:9" ht="30" customHeight="1" x14ac:dyDescent="0.25">
      <c r="B34">
        <v>29</v>
      </c>
      <c r="C34" t="s">
        <v>31</v>
      </c>
      <c r="D34" t="s">
        <v>110</v>
      </c>
      <c r="E34" t="s">
        <v>108</v>
      </c>
      <c r="F34" s="2">
        <f ca="1">DATE(YEAR(TODAY()),3,12)</f>
        <v>45363</v>
      </c>
      <c r="G34" t="s">
        <v>109</v>
      </c>
      <c r="H34" s="2">
        <f ca="1">DATE(YEAR(TODAY()),3,13)</f>
        <v>45364</v>
      </c>
      <c r="I34" t="s">
        <v>109</v>
      </c>
    </row>
    <row r="35" spans="2:9" ht="30" customHeight="1" x14ac:dyDescent="0.25">
      <c r="B35">
        <v>30</v>
      </c>
      <c r="C35" t="s">
        <v>32</v>
      </c>
      <c r="D35" t="s">
        <v>105</v>
      </c>
      <c r="E35" t="s">
        <v>106</v>
      </c>
      <c r="F35" s="2">
        <f ca="1">DATE(YEAR(TODAY()),3,12)</f>
        <v>45363</v>
      </c>
      <c r="G35" t="s">
        <v>111</v>
      </c>
      <c r="H35" s="2">
        <f ca="1">DATE(YEAR(TODAY()),3,13)</f>
        <v>45364</v>
      </c>
      <c r="I35" t="s">
        <v>109</v>
      </c>
    </row>
    <row r="36" spans="2:9" ht="30" customHeight="1" x14ac:dyDescent="0.25">
      <c r="B36">
        <v>31</v>
      </c>
      <c r="C36" t="s">
        <v>33</v>
      </c>
      <c r="D36" t="s">
        <v>113</v>
      </c>
      <c r="E36" t="s">
        <v>106</v>
      </c>
      <c r="F36" s="2">
        <f ca="1">DATE(YEAR(TODAY()),3,17)</f>
        <v>45368</v>
      </c>
      <c r="G36" t="s">
        <v>111</v>
      </c>
      <c r="H36" s="2">
        <f ca="1">DATE(YEAR(TODAY()),3,19)</f>
        <v>45370</v>
      </c>
      <c r="I36" t="s">
        <v>107</v>
      </c>
    </row>
    <row r="37" spans="2:9" ht="30" customHeight="1" x14ac:dyDescent="0.25">
      <c r="B37">
        <v>32</v>
      </c>
      <c r="C37" t="s">
        <v>34</v>
      </c>
      <c r="D37" t="s">
        <v>113</v>
      </c>
      <c r="E37" t="s">
        <v>108</v>
      </c>
      <c r="F37" s="2">
        <f ca="1">DATE(YEAR(TODAY()),3,21)</f>
        <v>45372</v>
      </c>
      <c r="G37" t="s">
        <v>112</v>
      </c>
      <c r="H37" s="2">
        <f ca="1">DATE(YEAR(TODAY()),3,26)</f>
        <v>45377</v>
      </c>
      <c r="I37" t="s">
        <v>107</v>
      </c>
    </row>
    <row r="38" spans="2:9" ht="30" customHeight="1" x14ac:dyDescent="0.25">
      <c r="B38">
        <v>33</v>
      </c>
      <c r="C38" t="s">
        <v>35</v>
      </c>
      <c r="D38" t="s">
        <v>113</v>
      </c>
      <c r="E38" t="s">
        <v>108</v>
      </c>
      <c r="F38" s="2">
        <f ca="1">DATE(YEAR(TODAY()),3,25)</f>
        <v>45376</v>
      </c>
      <c r="G38" t="s">
        <v>107</v>
      </c>
      <c r="H38" s="2">
        <f t="shared" ref="H38" ca="1" si="5">DATE(YEAR(TODAY()),3,26)</f>
        <v>45377</v>
      </c>
      <c r="I38" t="s">
        <v>111</v>
      </c>
    </row>
    <row r="39" spans="2:9" ht="30" customHeight="1" x14ac:dyDescent="0.25">
      <c r="B39">
        <v>34</v>
      </c>
      <c r="C39" t="s">
        <v>36</v>
      </c>
      <c r="D39" t="s">
        <v>110</v>
      </c>
      <c r="E39" t="s">
        <v>108</v>
      </c>
      <c r="F39" s="2">
        <f ca="1">DATE(YEAR(TODAY()),3,25)</f>
        <v>45376</v>
      </c>
      <c r="G39" t="s">
        <v>109</v>
      </c>
      <c r="H39" s="2">
        <f ca="1">DATE(YEAR(TODAY()),3,30)</f>
        <v>45381</v>
      </c>
      <c r="I39" t="s">
        <v>111</v>
      </c>
    </row>
    <row r="40" spans="2:9" ht="30" customHeight="1" x14ac:dyDescent="0.25">
      <c r="B40">
        <v>35</v>
      </c>
      <c r="C40" t="s">
        <v>37</v>
      </c>
      <c r="D40" t="s">
        <v>103</v>
      </c>
      <c r="E40" t="s">
        <v>108</v>
      </c>
      <c r="F40" s="2">
        <f ca="1">DATE(YEAR(TODAY()),3,29)</f>
        <v>45380</v>
      </c>
      <c r="G40" t="s">
        <v>107</v>
      </c>
      <c r="H40" s="2">
        <f ca="1">DATE(YEAR(TODAY()),3,29)</f>
        <v>45380</v>
      </c>
      <c r="I40" t="s">
        <v>109</v>
      </c>
    </row>
    <row r="41" spans="2:9" ht="30" customHeight="1" x14ac:dyDescent="0.25">
      <c r="B41">
        <v>36</v>
      </c>
      <c r="C41" t="s">
        <v>38</v>
      </c>
      <c r="D41" t="s">
        <v>113</v>
      </c>
      <c r="E41" t="s">
        <v>106</v>
      </c>
      <c r="F41" s="2">
        <f ca="1">DATE(YEAR(TODAY()),3,31)</f>
        <v>45382</v>
      </c>
      <c r="G41" t="s">
        <v>112</v>
      </c>
      <c r="H41" s="2">
        <f ca="1">DATE(YEAR(TODAY()),4,4)</f>
        <v>45386</v>
      </c>
      <c r="I41" t="s">
        <v>111</v>
      </c>
    </row>
    <row r="42" spans="2:9" ht="30" customHeight="1" x14ac:dyDescent="0.25">
      <c r="B42">
        <v>37</v>
      </c>
      <c r="C42" t="s">
        <v>39</v>
      </c>
      <c r="D42" t="s">
        <v>113</v>
      </c>
      <c r="E42" t="s">
        <v>106</v>
      </c>
      <c r="F42" s="2">
        <f ca="1">DATE(YEAR(TODAY()),4,5)</f>
        <v>45387</v>
      </c>
      <c r="G42" t="s">
        <v>107</v>
      </c>
      <c r="H42" s="2">
        <f ca="1">DATE(YEAR(TODAY()),4,6)</f>
        <v>45388</v>
      </c>
      <c r="I42" t="s">
        <v>111</v>
      </c>
    </row>
    <row r="43" spans="2:9" ht="30" customHeight="1" x14ac:dyDescent="0.25">
      <c r="B43">
        <v>38</v>
      </c>
      <c r="C43" t="s">
        <v>40</v>
      </c>
      <c r="D43" t="s">
        <v>105</v>
      </c>
      <c r="E43" t="s">
        <v>104</v>
      </c>
      <c r="F43" s="2">
        <f ca="1">DATE(YEAR(TODAY()),4,9)</f>
        <v>45391</v>
      </c>
      <c r="G43" t="s">
        <v>111</v>
      </c>
      <c r="H43" s="2">
        <f ca="1">DATE(YEAR(TODAY()),4,14)</f>
        <v>45396</v>
      </c>
      <c r="I43" t="s">
        <v>107</v>
      </c>
    </row>
    <row r="44" spans="2:9" ht="30" customHeight="1" x14ac:dyDescent="0.25">
      <c r="B44">
        <v>39</v>
      </c>
      <c r="C44" t="s">
        <v>41</v>
      </c>
      <c r="D44" t="s">
        <v>113</v>
      </c>
      <c r="E44" t="s">
        <v>108</v>
      </c>
      <c r="F44" s="2">
        <f ca="1">DATE(YEAR(TODAY()),4,10)</f>
        <v>45392</v>
      </c>
      <c r="G44" t="s">
        <v>111</v>
      </c>
      <c r="H44" s="2">
        <f ca="1">DATE(YEAR(TODAY()),4,12)</f>
        <v>45394</v>
      </c>
      <c r="I44" t="s">
        <v>112</v>
      </c>
    </row>
    <row r="45" spans="2:9" ht="30" customHeight="1" x14ac:dyDescent="0.25">
      <c r="B45">
        <v>40</v>
      </c>
      <c r="C45" t="s">
        <v>42</v>
      </c>
      <c r="D45" t="s">
        <v>110</v>
      </c>
      <c r="E45" t="s">
        <v>108</v>
      </c>
      <c r="F45" s="2">
        <f t="shared" ref="F45" ca="1" si="6">DATE(YEAR(TODAY()),4,10)</f>
        <v>45392</v>
      </c>
      <c r="G45" t="s">
        <v>112</v>
      </c>
      <c r="H45" s="2">
        <f ca="1">DATE(YEAR(TODAY()),4,13)</f>
        <v>45395</v>
      </c>
      <c r="I45" t="s">
        <v>111</v>
      </c>
    </row>
    <row r="46" spans="2:9" ht="30" customHeight="1" x14ac:dyDescent="0.25">
      <c r="B46">
        <v>41</v>
      </c>
      <c r="C46" t="s">
        <v>43</v>
      </c>
      <c r="D46" t="s">
        <v>113</v>
      </c>
      <c r="E46" t="s">
        <v>108</v>
      </c>
      <c r="F46" s="2">
        <f ca="1">DATE(YEAR(TODAY()),4,12)</f>
        <v>45394</v>
      </c>
      <c r="G46" t="s">
        <v>107</v>
      </c>
      <c r="H46" s="2">
        <f t="shared" ref="H46" ca="1" si="7">DATE(YEAR(TODAY()),4,13)</f>
        <v>45395</v>
      </c>
      <c r="I46" t="s">
        <v>107</v>
      </c>
    </row>
    <row r="47" spans="2:9" ht="30" customHeight="1" x14ac:dyDescent="0.25">
      <c r="B47">
        <v>42</v>
      </c>
      <c r="C47" t="s">
        <v>44</v>
      </c>
      <c r="D47" t="s">
        <v>103</v>
      </c>
      <c r="E47" t="s">
        <v>106</v>
      </c>
      <c r="F47" s="2">
        <f ca="1">DATE(YEAR(TODAY()),4,16)</f>
        <v>45398</v>
      </c>
      <c r="G47" t="s">
        <v>109</v>
      </c>
      <c r="H47" s="2">
        <f ca="1">DATE(YEAR(TODAY()),4,16)</f>
        <v>45398</v>
      </c>
      <c r="I47" t="s">
        <v>112</v>
      </c>
    </row>
    <row r="48" spans="2:9" ht="30" customHeight="1" x14ac:dyDescent="0.25">
      <c r="B48">
        <v>43</v>
      </c>
      <c r="C48" t="s">
        <v>52</v>
      </c>
      <c r="D48" t="s">
        <v>105</v>
      </c>
      <c r="E48" t="s">
        <v>106</v>
      </c>
      <c r="F48" s="2">
        <f ca="1">DATE(YEAR(TODAY()),4,18)</f>
        <v>45400</v>
      </c>
      <c r="G48" t="s">
        <v>111</v>
      </c>
      <c r="H48" s="2">
        <f ca="1">DATE(YEAR(TODAY()),4,18)</f>
        <v>45400</v>
      </c>
      <c r="I48" t="s">
        <v>109</v>
      </c>
    </row>
    <row r="49" spans="2:9" ht="30" customHeight="1" x14ac:dyDescent="0.25">
      <c r="B49">
        <v>44</v>
      </c>
      <c r="C49" t="s">
        <v>53</v>
      </c>
      <c r="D49" t="s">
        <v>103</v>
      </c>
      <c r="E49" t="s">
        <v>106</v>
      </c>
      <c r="F49" s="2">
        <f ca="1">DATE(YEAR(TODAY()),4,18)</f>
        <v>45400</v>
      </c>
      <c r="G49" t="s">
        <v>112</v>
      </c>
      <c r="H49" s="2">
        <f ca="1">DATE(YEAR(TODAY()),4,22)</f>
        <v>45404</v>
      </c>
      <c r="I49" t="s">
        <v>109</v>
      </c>
    </row>
    <row r="50" spans="2:9" ht="30" customHeight="1" x14ac:dyDescent="0.25">
      <c r="B50">
        <v>45</v>
      </c>
      <c r="C50" t="s">
        <v>54</v>
      </c>
      <c r="D50" t="s">
        <v>103</v>
      </c>
      <c r="E50" t="s">
        <v>106</v>
      </c>
      <c r="F50" s="2">
        <f ca="1">DATE(YEAR(TODAY()),4,22)</f>
        <v>45404</v>
      </c>
      <c r="G50" t="s">
        <v>111</v>
      </c>
      <c r="H50" s="2">
        <f ca="1">DATE(YEAR(TODAY()),4,23)</f>
        <v>45405</v>
      </c>
      <c r="I50" t="s">
        <v>109</v>
      </c>
    </row>
    <row r="51" spans="2:9" ht="30" customHeight="1" x14ac:dyDescent="0.25">
      <c r="B51">
        <v>46</v>
      </c>
      <c r="C51" t="s">
        <v>55</v>
      </c>
      <c r="D51" t="s">
        <v>105</v>
      </c>
      <c r="E51" t="s">
        <v>104</v>
      </c>
      <c r="F51" s="2">
        <f ca="1">DATE(YEAR(TODAY()),4,23)</f>
        <v>45405</v>
      </c>
      <c r="G51" t="s">
        <v>107</v>
      </c>
      <c r="H51" s="2">
        <f ca="1">DATE(YEAR(TODAY()),4,24)</f>
        <v>45406</v>
      </c>
      <c r="I51" t="s">
        <v>109</v>
      </c>
    </row>
    <row r="52" spans="2:9" ht="30" customHeight="1" x14ac:dyDescent="0.25">
      <c r="B52">
        <v>47</v>
      </c>
      <c r="C52" t="s">
        <v>56</v>
      </c>
      <c r="D52" t="s">
        <v>103</v>
      </c>
      <c r="E52" t="s">
        <v>106</v>
      </c>
      <c r="F52" s="2">
        <f ca="1">DATE(YEAR(TODAY()),4,25)</f>
        <v>45407</v>
      </c>
      <c r="G52" t="s">
        <v>112</v>
      </c>
      <c r="H52" s="2">
        <f ca="1">DATE(YEAR(TODAY()),4,25)</f>
        <v>45407</v>
      </c>
      <c r="I52" t="s">
        <v>111</v>
      </c>
    </row>
    <row r="53" spans="2:9" ht="30" customHeight="1" x14ac:dyDescent="0.25">
      <c r="B53">
        <v>48</v>
      </c>
      <c r="C53" t="s">
        <v>57</v>
      </c>
      <c r="D53" t="s">
        <v>110</v>
      </c>
      <c r="E53" t="s">
        <v>106</v>
      </c>
      <c r="F53" s="2">
        <f ca="1">DATE(YEAR(TODAY()),4,30)</f>
        <v>45412</v>
      </c>
      <c r="G53" t="s">
        <v>112</v>
      </c>
      <c r="H53" s="2">
        <f ca="1">DATE(YEAR(TODAY()),5,1)</f>
        <v>45413</v>
      </c>
      <c r="I53" t="s">
        <v>109</v>
      </c>
    </row>
    <row r="54" spans="2:9" ht="30" customHeight="1" x14ac:dyDescent="0.25">
      <c r="B54">
        <v>49</v>
      </c>
      <c r="C54" t="s">
        <v>58</v>
      </c>
      <c r="D54" t="s">
        <v>103</v>
      </c>
      <c r="E54" t="s">
        <v>106</v>
      </c>
      <c r="F54" s="2">
        <f ca="1">DATE(YEAR(TODAY()),5,5)</f>
        <v>45417</v>
      </c>
      <c r="G54" t="s">
        <v>111</v>
      </c>
      <c r="H54" s="2">
        <f ca="1">DATE(YEAR(TODAY()),5,5)</f>
        <v>45417</v>
      </c>
      <c r="I54" t="s">
        <v>112</v>
      </c>
    </row>
    <row r="55" spans="2:9" ht="30" customHeight="1" x14ac:dyDescent="0.25">
      <c r="B55">
        <v>50</v>
      </c>
      <c r="C55" t="s">
        <v>59</v>
      </c>
      <c r="D55" t="s">
        <v>105</v>
      </c>
      <c r="E55" t="s">
        <v>106</v>
      </c>
      <c r="F55" s="2">
        <f ca="1">DATE(YEAR(TODAY()),5,5)</f>
        <v>45417</v>
      </c>
      <c r="G55" t="s">
        <v>109</v>
      </c>
      <c r="H55" s="2">
        <f ca="1">DATE(YEAR(TODAY()),5,9)</f>
        <v>45421</v>
      </c>
      <c r="I55" t="s">
        <v>107</v>
      </c>
    </row>
    <row r="56" spans="2:9" ht="30" customHeight="1" x14ac:dyDescent="0.25">
      <c r="B56">
        <v>51</v>
      </c>
      <c r="C56" t="s">
        <v>60</v>
      </c>
      <c r="D56" t="s">
        <v>105</v>
      </c>
      <c r="E56" t="s">
        <v>104</v>
      </c>
      <c r="F56" s="2">
        <f ca="1">DATE(YEAR(TODAY()),5,8)</f>
        <v>45420</v>
      </c>
      <c r="G56" t="s">
        <v>107</v>
      </c>
      <c r="H56" s="2">
        <f ca="1">DATE(YEAR(TODAY()),5,12)</f>
        <v>45424</v>
      </c>
      <c r="I56" t="s">
        <v>109</v>
      </c>
    </row>
    <row r="57" spans="2:9" ht="30" customHeight="1" x14ac:dyDescent="0.25">
      <c r="B57">
        <v>52</v>
      </c>
      <c r="C57" t="s">
        <v>61</v>
      </c>
      <c r="D57" t="s">
        <v>110</v>
      </c>
      <c r="E57" t="s">
        <v>108</v>
      </c>
      <c r="F57" s="2">
        <f ca="1">DATE(YEAR(TODAY()),5,11)</f>
        <v>45423</v>
      </c>
      <c r="G57" t="s">
        <v>107</v>
      </c>
      <c r="H57" s="2">
        <f ca="1">DATE(YEAR(TODAY()),5,14)</f>
        <v>45426</v>
      </c>
      <c r="I57" t="s">
        <v>112</v>
      </c>
    </row>
    <row r="58" spans="2:9" ht="30" customHeight="1" x14ac:dyDescent="0.25">
      <c r="B58">
        <v>53</v>
      </c>
      <c r="C58" t="s">
        <v>62</v>
      </c>
      <c r="D58" t="s">
        <v>113</v>
      </c>
      <c r="E58" t="s">
        <v>106</v>
      </c>
      <c r="F58" s="2">
        <f ca="1">DATE(YEAR(TODAY()),5,11)</f>
        <v>45423</v>
      </c>
      <c r="G58" t="s">
        <v>107</v>
      </c>
      <c r="H58" s="2">
        <f ca="1">DATE(YEAR(TODAY()),5,11)</f>
        <v>45423</v>
      </c>
      <c r="I58" t="s">
        <v>112</v>
      </c>
    </row>
    <row r="59" spans="2:9" ht="30" customHeight="1" x14ac:dyDescent="0.25">
      <c r="B59">
        <v>54</v>
      </c>
      <c r="C59" t="s">
        <v>63</v>
      </c>
      <c r="D59" t="s">
        <v>103</v>
      </c>
      <c r="E59" t="s">
        <v>108</v>
      </c>
      <c r="F59" s="2">
        <f ca="1">DATE(YEAR(TODAY()),5,12)</f>
        <v>45424</v>
      </c>
      <c r="G59" t="s">
        <v>107</v>
      </c>
      <c r="H59" s="2">
        <f ca="1">DATE(YEAR(TODAY()),5,12)</f>
        <v>45424</v>
      </c>
      <c r="I59" t="s">
        <v>112</v>
      </c>
    </row>
    <row r="60" spans="2:9" ht="30" customHeight="1" x14ac:dyDescent="0.25">
      <c r="B60">
        <v>55</v>
      </c>
      <c r="C60" t="s">
        <v>64</v>
      </c>
      <c r="D60" t="s">
        <v>103</v>
      </c>
      <c r="E60" t="s">
        <v>108</v>
      </c>
      <c r="F60" s="2">
        <f ca="1">DATE(YEAR(TODAY()),5,15)</f>
        <v>45427</v>
      </c>
      <c r="G60" t="s">
        <v>112</v>
      </c>
      <c r="H60" s="2">
        <f ca="1">DATE(YEAR(TODAY()),5,15)</f>
        <v>45427</v>
      </c>
      <c r="I60" t="s">
        <v>107</v>
      </c>
    </row>
    <row r="61" spans="2:9" ht="30" customHeight="1" x14ac:dyDescent="0.25">
      <c r="B61">
        <v>56</v>
      </c>
      <c r="C61" t="s">
        <v>65</v>
      </c>
      <c r="D61" t="s">
        <v>103</v>
      </c>
      <c r="E61" t="s">
        <v>106</v>
      </c>
      <c r="F61" s="2">
        <f ca="1">DATE(YEAR(TODAY()),5,17)</f>
        <v>45429</v>
      </c>
      <c r="G61" t="s">
        <v>111</v>
      </c>
      <c r="H61" s="2">
        <f ca="1">DATE(YEAR(TODAY()),5,17)</f>
        <v>45429</v>
      </c>
      <c r="I61" t="s">
        <v>111</v>
      </c>
    </row>
    <row r="62" spans="2:9" ht="30" customHeight="1" x14ac:dyDescent="0.25">
      <c r="B62">
        <v>57</v>
      </c>
      <c r="C62" t="s">
        <v>66</v>
      </c>
      <c r="D62" t="s">
        <v>103</v>
      </c>
      <c r="E62" t="s">
        <v>104</v>
      </c>
      <c r="F62" s="2">
        <f ca="1">DATE(YEAR(TODAY()),5,17)</f>
        <v>45429</v>
      </c>
      <c r="G62" t="s">
        <v>111</v>
      </c>
      <c r="H62" s="2">
        <f ca="1">DATE(YEAR(TODAY()),5,21)</f>
        <v>45433</v>
      </c>
      <c r="I62" t="s">
        <v>109</v>
      </c>
    </row>
    <row r="63" spans="2:9" ht="30" customHeight="1" x14ac:dyDescent="0.25">
      <c r="B63">
        <v>58</v>
      </c>
      <c r="C63" t="s">
        <v>67</v>
      </c>
      <c r="D63" t="s">
        <v>103</v>
      </c>
      <c r="E63" t="s">
        <v>104</v>
      </c>
      <c r="F63" s="2">
        <f ca="1">DATE(YEAR(TODAY()),5,17)</f>
        <v>45429</v>
      </c>
      <c r="G63" t="s">
        <v>111</v>
      </c>
      <c r="H63" s="2">
        <f ca="1">DATE(YEAR(TODAY()),5,19)</f>
        <v>45431</v>
      </c>
      <c r="I63" t="s">
        <v>111</v>
      </c>
    </row>
    <row r="64" spans="2:9" ht="30" customHeight="1" x14ac:dyDescent="0.25">
      <c r="B64">
        <v>59</v>
      </c>
      <c r="C64" t="s">
        <v>68</v>
      </c>
      <c r="D64" t="s">
        <v>110</v>
      </c>
      <c r="E64" t="s">
        <v>106</v>
      </c>
      <c r="F64" s="2">
        <f ca="1">DATE(YEAR(TODAY()),5,21)</f>
        <v>45433</v>
      </c>
      <c r="G64" t="s">
        <v>109</v>
      </c>
      <c r="H64" s="2">
        <f ca="1">DATE(YEAR(TODAY()),5,21)</f>
        <v>45433</v>
      </c>
      <c r="I64" t="s">
        <v>112</v>
      </c>
    </row>
    <row r="65" spans="2:9" ht="30" customHeight="1" x14ac:dyDescent="0.25">
      <c r="B65">
        <v>60</v>
      </c>
      <c r="C65" t="s">
        <v>69</v>
      </c>
      <c r="D65" t="s">
        <v>110</v>
      </c>
      <c r="E65" t="s">
        <v>104</v>
      </c>
      <c r="F65" s="2">
        <f ca="1">DATE(YEAR(TODAY()),5,24)</f>
        <v>45436</v>
      </c>
      <c r="G65" t="s">
        <v>112</v>
      </c>
      <c r="H65" s="2">
        <f ca="1">DATE(YEAR(TODAY()),5,26)</f>
        <v>45438</v>
      </c>
      <c r="I65" t="s">
        <v>109</v>
      </c>
    </row>
    <row r="66" spans="2:9" ht="30" customHeight="1" x14ac:dyDescent="0.25">
      <c r="B66">
        <v>61</v>
      </c>
      <c r="C66" t="s">
        <v>70</v>
      </c>
      <c r="D66" t="s">
        <v>105</v>
      </c>
      <c r="E66" t="s">
        <v>106</v>
      </c>
      <c r="F66" s="2">
        <f ca="1">DATE(YEAR(TODAY()),5,25)</f>
        <v>45437</v>
      </c>
      <c r="G66" t="s">
        <v>109</v>
      </c>
      <c r="H66" s="2">
        <f ca="1">DATE(YEAR(TODAY()),5,25)</f>
        <v>45437</v>
      </c>
      <c r="I66" t="s">
        <v>111</v>
      </c>
    </row>
    <row r="67" spans="2:9" ht="30" customHeight="1" x14ac:dyDescent="0.25">
      <c r="B67">
        <v>62</v>
      </c>
      <c r="C67" t="s">
        <v>71</v>
      </c>
      <c r="D67" t="s">
        <v>110</v>
      </c>
      <c r="E67" t="s">
        <v>108</v>
      </c>
      <c r="F67" s="2">
        <f ca="1">DATE(YEAR(TODAY()),5,30)</f>
        <v>45442</v>
      </c>
      <c r="G67" t="s">
        <v>111</v>
      </c>
      <c r="H67" s="2">
        <f ca="1">DATE(YEAR(TODAY()),6,3)</f>
        <v>45446</v>
      </c>
      <c r="I67" t="s">
        <v>107</v>
      </c>
    </row>
    <row r="68" spans="2:9" ht="30" customHeight="1" x14ac:dyDescent="0.25">
      <c r="B68">
        <v>63</v>
      </c>
      <c r="C68" t="s">
        <v>72</v>
      </c>
      <c r="D68" t="s">
        <v>113</v>
      </c>
      <c r="E68" t="s">
        <v>108</v>
      </c>
      <c r="F68" s="2">
        <f ca="1">DATE(YEAR(TODAY()),6,4)</f>
        <v>45447</v>
      </c>
      <c r="G68" t="s">
        <v>107</v>
      </c>
      <c r="H68" s="2">
        <f ca="1">DATE(YEAR(TODAY()),6,4)</f>
        <v>45447</v>
      </c>
      <c r="I68" t="s">
        <v>107</v>
      </c>
    </row>
    <row r="69" spans="2:9" ht="30" customHeight="1" x14ac:dyDescent="0.25">
      <c r="B69">
        <v>64</v>
      </c>
      <c r="C69" t="s">
        <v>73</v>
      </c>
      <c r="D69" t="s">
        <v>113</v>
      </c>
      <c r="E69" t="s">
        <v>108</v>
      </c>
      <c r="F69" s="2">
        <f ca="1">DATE(YEAR(TODAY()),6,7)</f>
        <v>45450</v>
      </c>
      <c r="G69" t="s">
        <v>112</v>
      </c>
      <c r="H69" s="2">
        <f ca="1">DATE(YEAR(TODAY()),6,9)</f>
        <v>45452</v>
      </c>
      <c r="I69" t="s">
        <v>112</v>
      </c>
    </row>
    <row r="70" spans="2:9" ht="30" customHeight="1" x14ac:dyDescent="0.25">
      <c r="B70">
        <v>65</v>
      </c>
      <c r="C70" t="s">
        <v>74</v>
      </c>
      <c r="D70" t="s">
        <v>113</v>
      </c>
      <c r="E70" t="s">
        <v>104</v>
      </c>
      <c r="F70" s="2">
        <f t="shared" ref="F70" ca="1" si="8">DATE(YEAR(TODAY()),6,7)</f>
        <v>45450</v>
      </c>
      <c r="G70" t="s">
        <v>112</v>
      </c>
      <c r="H70" s="2">
        <f ca="1">DATE(YEAR(TODAY()),6,7)</f>
        <v>45450</v>
      </c>
      <c r="I70" t="s">
        <v>107</v>
      </c>
    </row>
    <row r="71" spans="2:9" ht="30" customHeight="1" x14ac:dyDescent="0.25">
      <c r="B71">
        <v>66</v>
      </c>
      <c r="C71" t="s">
        <v>75</v>
      </c>
      <c r="D71" t="s">
        <v>113</v>
      </c>
      <c r="E71" t="s">
        <v>106</v>
      </c>
      <c r="F71" s="2">
        <f ca="1">DATE(YEAR(TODAY()),6,12)</f>
        <v>45455</v>
      </c>
      <c r="G71" t="s">
        <v>109</v>
      </c>
      <c r="H71" s="2">
        <f ca="1">DATE(YEAR(TODAY()),6,12)</f>
        <v>45455</v>
      </c>
      <c r="I71" t="s">
        <v>109</v>
      </c>
    </row>
    <row r="72" spans="2:9" ht="30" customHeight="1" x14ac:dyDescent="0.25">
      <c r="B72">
        <v>67</v>
      </c>
      <c r="C72" t="s">
        <v>76</v>
      </c>
      <c r="D72" t="s">
        <v>103</v>
      </c>
      <c r="E72" t="s">
        <v>106</v>
      </c>
      <c r="F72" s="2">
        <f ca="1">DATE(YEAR(TODAY()),6,17)</f>
        <v>45460</v>
      </c>
      <c r="G72" t="s">
        <v>112</v>
      </c>
      <c r="H72" s="2">
        <f ca="1">DATE(YEAR(TODAY()),6,17)</f>
        <v>45460</v>
      </c>
      <c r="I72" t="s">
        <v>107</v>
      </c>
    </row>
    <row r="73" spans="2:9" ht="30" customHeight="1" x14ac:dyDescent="0.25">
      <c r="B73">
        <v>68</v>
      </c>
      <c r="C73" t="s">
        <v>77</v>
      </c>
      <c r="D73" t="s">
        <v>113</v>
      </c>
      <c r="E73" t="s">
        <v>108</v>
      </c>
      <c r="F73" s="2">
        <f ca="1">DATE(YEAR(TODAY()),6,18)</f>
        <v>45461</v>
      </c>
      <c r="G73" t="s">
        <v>111</v>
      </c>
      <c r="H73" s="2">
        <f ca="1">DATE(YEAR(TODAY()),6,18)</f>
        <v>45461</v>
      </c>
      <c r="I73" t="s">
        <v>107</v>
      </c>
    </row>
    <row r="74" spans="2:9" ht="30" customHeight="1" x14ac:dyDescent="0.25">
      <c r="B74">
        <v>69</v>
      </c>
      <c r="C74" t="s">
        <v>78</v>
      </c>
      <c r="D74" t="s">
        <v>110</v>
      </c>
      <c r="E74" t="s">
        <v>106</v>
      </c>
      <c r="F74" s="2">
        <f t="shared" ref="F74:F75" ca="1" si="9">DATE(YEAR(TODAY()),6,18)</f>
        <v>45461</v>
      </c>
      <c r="G74" t="s">
        <v>107</v>
      </c>
      <c r="H74" s="2">
        <f ca="1">DATE(YEAR(TODAY()),6,18)</f>
        <v>45461</v>
      </c>
      <c r="I74" t="s">
        <v>111</v>
      </c>
    </row>
    <row r="75" spans="2:9" ht="30" customHeight="1" x14ac:dyDescent="0.25">
      <c r="B75">
        <v>70</v>
      </c>
      <c r="C75" t="s">
        <v>79</v>
      </c>
      <c r="D75" t="s">
        <v>113</v>
      </c>
      <c r="E75" t="s">
        <v>104</v>
      </c>
      <c r="F75" s="2">
        <f t="shared" ca="1" si="9"/>
        <v>45461</v>
      </c>
      <c r="G75" t="s">
        <v>111</v>
      </c>
      <c r="H75" s="2">
        <f t="shared" ref="H75" ca="1" si="10">DATE(YEAR(TODAY()),6,18)</f>
        <v>45461</v>
      </c>
      <c r="I75" t="s">
        <v>109</v>
      </c>
    </row>
    <row r="76" spans="2:9" ht="30" customHeight="1" x14ac:dyDescent="0.25">
      <c r="B76">
        <v>71</v>
      </c>
      <c r="C76" t="s">
        <v>80</v>
      </c>
      <c r="D76" t="s">
        <v>110</v>
      </c>
      <c r="E76" t="s">
        <v>104</v>
      </c>
      <c r="F76" s="2">
        <f ca="1">DATE(YEAR(TODAY()),6,19)</f>
        <v>45462</v>
      </c>
      <c r="G76" t="s">
        <v>107</v>
      </c>
      <c r="H76" s="2">
        <f ca="1">DATE(YEAR(TODAY()),6,19)</f>
        <v>45462</v>
      </c>
      <c r="I76" t="s">
        <v>111</v>
      </c>
    </row>
    <row r="77" spans="2:9" ht="30" customHeight="1" x14ac:dyDescent="0.25">
      <c r="B77">
        <v>72</v>
      </c>
      <c r="C77" t="s">
        <v>81</v>
      </c>
      <c r="D77" t="s">
        <v>105</v>
      </c>
      <c r="E77" t="s">
        <v>104</v>
      </c>
      <c r="F77" s="2">
        <f ca="1">DATE(YEAR(TODAY()),6,23)</f>
        <v>45466</v>
      </c>
      <c r="G77" t="s">
        <v>112</v>
      </c>
      <c r="H77" s="2">
        <f ca="1">DATE(YEAR(TODAY()),6,23)</f>
        <v>45466</v>
      </c>
      <c r="I77" t="s">
        <v>107</v>
      </c>
    </row>
    <row r="78" spans="2:9" ht="30" customHeight="1" x14ac:dyDescent="0.25">
      <c r="B78">
        <v>73</v>
      </c>
      <c r="C78" t="s">
        <v>82</v>
      </c>
      <c r="D78" t="s">
        <v>113</v>
      </c>
      <c r="E78" t="s">
        <v>108</v>
      </c>
      <c r="F78" s="2">
        <f ca="1">DATE(YEAR(TODAY()),6,28)</f>
        <v>45471</v>
      </c>
      <c r="G78" t="s">
        <v>107</v>
      </c>
      <c r="H78" s="2">
        <f ca="1">DATE(YEAR(TODAY()),6,30)</f>
        <v>45473</v>
      </c>
      <c r="I78" t="s">
        <v>109</v>
      </c>
    </row>
    <row r="79" spans="2:9" ht="30" customHeight="1" x14ac:dyDescent="0.25">
      <c r="B79">
        <v>74</v>
      </c>
      <c r="C79" t="s">
        <v>83</v>
      </c>
      <c r="D79" t="s">
        <v>103</v>
      </c>
      <c r="E79" t="s">
        <v>108</v>
      </c>
      <c r="F79" s="2">
        <f ca="1">DATE(YEAR(TODAY()),6,28)</f>
        <v>45471</v>
      </c>
      <c r="G79" t="s">
        <v>109</v>
      </c>
      <c r="H79" s="2">
        <f ca="1">DATE(YEAR(TODAY()),6,28)</f>
        <v>45471</v>
      </c>
      <c r="I79" t="s">
        <v>109</v>
      </c>
    </row>
    <row r="80" spans="2:9" ht="30" customHeight="1" x14ac:dyDescent="0.25">
      <c r="B80">
        <v>75</v>
      </c>
      <c r="C80" t="s">
        <v>84</v>
      </c>
      <c r="D80" t="s">
        <v>113</v>
      </c>
      <c r="E80" t="s">
        <v>104</v>
      </c>
      <c r="F80" s="2">
        <f ca="1">DATE(YEAR(TODAY()),7,3)</f>
        <v>45476</v>
      </c>
      <c r="G80" t="s">
        <v>107</v>
      </c>
      <c r="H80" s="2">
        <f ca="1">DATE(YEAR(TODAY()),7,3)</f>
        <v>45476</v>
      </c>
      <c r="I80" t="s">
        <v>109</v>
      </c>
    </row>
    <row r="81" spans="2:9" ht="30" customHeight="1" x14ac:dyDescent="0.25">
      <c r="B81">
        <v>76</v>
      </c>
      <c r="C81" t="s">
        <v>85</v>
      </c>
      <c r="D81" t="s">
        <v>110</v>
      </c>
      <c r="E81" t="s">
        <v>104</v>
      </c>
      <c r="F81" s="2">
        <f ca="1">DATE(YEAR(TODAY()),7,4)</f>
        <v>45477</v>
      </c>
      <c r="G81" t="s">
        <v>109</v>
      </c>
      <c r="H81" s="2">
        <f ca="1">DATE(YEAR(TODAY()),7,8)</f>
        <v>45481</v>
      </c>
      <c r="I81" t="s">
        <v>112</v>
      </c>
    </row>
    <row r="82" spans="2:9" ht="30" customHeight="1" x14ac:dyDescent="0.25">
      <c r="B82">
        <v>77</v>
      </c>
      <c r="C82" t="s">
        <v>86</v>
      </c>
      <c r="D82" t="s">
        <v>105</v>
      </c>
      <c r="E82" t="s">
        <v>104</v>
      </c>
      <c r="F82" s="2">
        <f t="shared" ref="F82" ca="1" si="11">DATE(YEAR(TODAY()),7,4)</f>
        <v>45477</v>
      </c>
      <c r="G82" t="s">
        <v>112</v>
      </c>
      <c r="H82" s="2">
        <f ca="1">DATE(YEAR(TODAY()),7,4)</f>
        <v>45477</v>
      </c>
      <c r="I82" t="s">
        <v>109</v>
      </c>
    </row>
    <row r="83" spans="2:9" ht="30" customHeight="1" x14ac:dyDescent="0.25">
      <c r="B83">
        <v>78</v>
      </c>
      <c r="C83" t="s">
        <v>87</v>
      </c>
      <c r="D83" t="s">
        <v>105</v>
      </c>
      <c r="E83" t="s">
        <v>104</v>
      </c>
      <c r="F83" s="2">
        <f ca="1">DATE(YEAR(TODAY()),7,5)</f>
        <v>45478</v>
      </c>
      <c r="G83" t="s">
        <v>112</v>
      </c>
      <c r="H83" s="2">
        <f ca="1">DATE(YEAR(TODAY()),7,10)</f>
        <v>45483</v>
      </c>
      <c r="I83" t="s">
        <v>111</v>
      </c>
    </row>
    <row r="84" spans="2:9" ht="30" customHeight="1" x14ac:dyDescent="0.25">
      <c r="B84">
        <v>79</v>
      </c>
      <c r="C84" t="s">
        <v>88</v>
      </c>
      <c r="D84" t="s">
        <v>113</v>
      </c>
      <c r="E84" t="s">
        <v>106</v>
      </c>
      <c r="F84" s="2">
        <f ca="1">DATE(YEAR(TODAY()),7,10)</f>
        <v>45483</v>
      </c>
      <c r="G84" t="s">
        <v>107</v>
      </c>
      <c r="H84" s="2">
        <f ca="1">DATE(YEAR(TODAY()),7,15)</f>
        <v>45488</v>
      </c>
      <c r="I84" t="s">
        <v>111</v>
      </c>
    </row>
    <row r="85" spans="2:9" ht="30" customHeight="1" x14ac:dyDescent="0.25">
      <c r="B85">
        <v>80</v>
      </c>
      <c r="C85" t="s">
        <v>89</v>
      </c>
      <c r="D85" t="s">
        <v>103</v>
      </c>
      <c r="E85" t="s">
        <v>104</v>
      </c>
      <c r="F85" s="2">
        <f t="shared" ref="F85" ca="1" si="12">DATE(YEAR(TODAY()),7,10)</f>
        <v>45483</v>
      </c>
      <c r="G85" t="s">
        <v>112</v>
      </c>
      <c r="H85" s="2">
        <f ca="1">DATE(YEAR(TODAY()),7,12)</f>
        <v>45485</v>
      </c>
      <c r="I85" t="s">
        <v>107</v>
      </c>
    </row>
    <row r="86" spans="2:9" ht="30" customHeight="1" x14ac:dyDescent="0.25">
      <c r="B86">
        <v>81</v>
      </c>
      <c r="C86" t="s">
        <v>90</v>
      </c>
      <c r="D86" t="s">
        <v>113</v>
      </c>
      <c r="E86" t="s">
        <v>104</v>
      </c>
      <c r="F86" s="2">
        <f ca="1">DATE(YEAR(TODAY()),7,11)</f>
        <v>45484</v>
      </c>
      <c r="G86" t="s">
        <v>111</v>
      </c>
      <c r="H86" s="2">
        <f ca="1">DATE(YEAR(TODAY()),7,13)</f>
        <v>45486</v>
      </c>
      <c r="I86" t="s">
        <v>112</v>
      </c>
    </row>
    <row r="87" spans="2:9" ht="30" customHeight="1" x14ac:dyDescent="0.25">
      <c r="B87">
        <v>82</v>
      </c>
      <c r="C87" t="s">
        <v>91</v>
      </c>
      <c r="D87" t="s">
        <v>103</v>
      </c>
      <c r="E87" t="s">
        <v>104</v>
      </c>
      <c r="F87" s="2">
        <f ca="1">DATE(YEAR(TODAY()),7,15)</f>
        <v>45488</v>
      </c>
      <c r="G87" t="s">
        <v>111</v>
      </c>
      <c r="H87" s="2">
        <f ca="1">DATE(YEAR(TODAY()),7,18)</f>
        <v>45491</v>
      </c>
      <c r="I87" t="s">
        <v>109</v>
      </c>
    </row>
    <row r="88" spans="2:9" ht="30" customHeight="1" x14ac:dyDescent="0.25">
      <c r="B88">
        <v>83</v>
      </c>
      <c r="C88" t="s">
        <v>92</v>
      </c>
      <c r="D88" t="s">
        <v>113</v>
      </c>
      <c r="E88" t="s">
        <v>104</v>
      </c>
      <c r="F88" s="2">
        <f ca="1">DATE(YEAR(TODAY()),7,17)</f>
        <v>45490</v>
      </c>
      <c r="G88" t="s">
        <v>109</v>
      </c>
      <c r="H88" s="2">
        <f ca="1">DATE(YEAR(TODAY()),7,20)</f>
        <v>45493</v>
      </c>
      <c r="I88" t="s">
        <v>112</v>
      </c>
    </row>
    <row r="89" spans="2:9" ht="30" customHeight="1" x14ac:dyDescent="0.25">
      <c r="B89">
        <v>84</v>
      </c>
      <c r="C89" t="s">
        <v>93</v>
      </c>
      <c r="D89" t="s">
        <v>105</v>
      </c>
      <c r="E89" t="s">
        <v>108</v>
      </c>
      <c r="F89" s="2">
        <f ca="1">DATE(YEAR(TODAY()),7,20)</f>
        <v>45493</v>
      </c>
      <c r="G89" t="s">
        <v>107</v>
      </c>
      <c r="H89" s="2">
        <f ca="1">DATE(YEAR(TODAY()),7,20)</f>
        <v>45493</v>
      </c>
      <c r="I89" t="s">
        <v>111</v>
      </c>
    </row>
    <row r="90" spans="2:9" ht="30" customHeight="1" x14ac:dyDescent="0.25">
      <c r="B90">
        <v>85</v>
      </c>
      <c r="C90" t="s">
        <v>94</v>
      </c>
      <c r="D90" t="s">
        <v>103</v>
      </c>
      <c r="E90" t="s">
        <v>106</v>
      </c>
      <c r="F90" s="2">
        <f ca="1">DATE(YEAR(TODAY()),7,23)</f>
        <v>45496</v>
      </c>
      <c r="G90" t="s">
        <v>107</v>
      </c>
      <c r="H90" s="2">
        <f ca="1">DATE(YEAR(TODAY()),7,23)</f>
        <v>45496</v>
      </c>
      <c r="I90" t="s">
        <v>112</v>
      </c>
    </row>
    <row r="91" spans="2:9" ht="30" customHeight="1" x14ac:dyDescent="0.25">
      <c r="B91">
        <v>86</v>
      </c>
      <c r="C91" t="s">
        <v>95</v>
      </c>
      <c r="D91" t="s">
        <v>110</v>
      </c>
      <c r="E91" t="s">
        <v>106</v>
      </c>
      <c r="F91" s="2">
        <f ca="1">DATE(YEAR(TODAY()),7,28)</f>
        <v>45501</v>
      </c>
      <c r="G91" t="s">
        <v>109</v>
      </c>
      <c r="H91" s="2">
        <f ca="1">DATE(YEAR(TODAY()),7,28)</f>
        <v>45501</v>
      </c>
      <c r="I91" t="s">
        <v>109</v>
      </c>
    </row>
    <row r="92" spans="2:9" ht="30" customHeight="1" x14ac:dyDescent="0.25">
      <c r="B92">
        <v>87</v>
      </c>
      <c r="C92" t="s">
        <v>96</v>
      </c>
      <c r="D92" t="s">
        <v>105</v>
      </c>
      <c r="E92" t="s">
        <v>106</v>
      </c>
      <c r="F92" s="2">
        <f ca="1">DATE(YEAR(TODAY()),7,28)</f>
        <v>45501</v>
      </c>
      <c r="G92" t="s">
        <v>111</v>
      </c>
      <c r="H92" s="2">
        <f ca="1">DATE(YEAR(TODAY()),8,2)</f>
        <v>45506</v>
      </c>
      <c r="I92" t="s">
        <v>109</v>
      </c>
    </row>
    <row r="93" spans="2:9" ht="30" customHeight="1" x14ac:dyDescent="0.25">
      <c r="B93">
        <v>88</v>
      </c>
      <c r="C93" t="s">
        <v>97</v>
      </c>
      <c r="D93" t="s">
        <v>105</v>
      </c>
      <c r="E93" t="s">
        <v>106</v>
      </c>
      <c r="F93" s="2">
        <f ca="1">DATE(YEAR(TODAY()),7,31)</f>
        <v>45504</v>
      </c>
      <c r="G93" t="s">
        <v>112</v>
      </c>
      <c r="H93" s="2">
        <f ca="1">DATE(YEAR(TODAY()),7,31)</f>
        <v>45504</v>
      </c>
      <c r="I93" t="s">
        <v>107</v>
      </c>
    </row>
    <row r="94" spans="2:9" ht="30" customHeight="1" x14ac:dyDescent="0.25">
      <c r="B94">
        <v>89</v>
      </c>
      <c r="C94" t="s">
        <v>98</v>
      </c>
      <c r="D94" t="s">
        <v>110</v>
      </c>
      <c r="E94" t="s">
        <v>104</v>
      </c>
      <c r="F94" s="2">
        <f ca="1">DATE(YEAR(TODAY()),8,2)</f>
        <v>45506</v>
      </c>
      <c r="G94" t="s">
        <v>109</v>
      </c>
      <c r="H94" s="2">
        <f ca="1">DATE(YEAR(TODAY()),8,6)</f>
        <v>45510</v>
      </c>
      <c r="I94" t="s">
        <v>111</v>
      </c>
    </row>
    <row r="95" spans="2:9" ht="30" customHeight="1" x14ac:dyDescent="0.25">
      <c r="B95">
        <v>90</v>
      </c>
      <c r="C95" t="s">
        <v>99</v>
      </c>
      <c r="D95" t="s">
        <v>113</v>
      </c>
      <c r="E95" t="s">
        <v>106</v>
      </c>
      <c r="F95" s="2">
        <f ca="1">DATE(YEAR(TODAY()),8,6)</f>
        <v>45510</v>
      </c>
      <c r="G95" t="s">
        <v>109</v>
      </c>
      <c r="H95" s="2">
        <f ca="1">DATE(YEAR(TODAY()),8,6)</f>
        <v>45510</v>
      </c>
      <c r="I95" t="s">
        <v>107</v>
      </c>
    </row>
    <row r="96" spans="2:9" ht="30" customHeight="1" x14ac:dyDescent="0.25">
      <c r="B96">
        <v>91</v>
      </c>
      <c r="C96" t="s">
        <v>123</v>
      </c>
      <c r="D96" t="s">
        <v>105</v>
      </c>
      <c r="E96" t="s">
        <v>104</v>
      </c>
      <c r="F96" s="2">
        <f ca="1">DATE(YEAR(TODAY()),8,8)</f>
        <v>45512</v>
      </c>
      <c r="G96" t="s">
        <v>109</v>
      </c>
      <c r="H96" s="2">
        <f ca="1">DATE(YEAR(TODAY()),8,10)</f>
        <v>45514</v>
      </c>
      <c r="I96" t="s">
        <v>111</v>
      </c>
    </row>
  </sheetData>
  <mergeCells count="2">
    <mergeCell ref="B1:F2"/>
    <mergeCell ref="A3:J4"/>
  </mergeCells>
  <dataValidations count="19">
    <dataValidation type="list" errorStyle="warning" allowBlank="1" showInputMessage="1" showErrorMessage="1" error="Select issue Type from the list. Select CANCEL, then press ALT+DOWN ARROW for options, then DOWN ARROW and ENTER to make selection" prompt="Select issue Type in this cell. Press ALT+DOWN ARROW for options, then DOWN ARROW and ENTER to make selection" sqref="G2" xr:uid="{00000000-0002-0000-0000-000000000000}">
      <formula1>types</formula1>
    </dataValidation>
    <dataValidation type="list" errorStyle="warning" allowBlank="1" showInputMessage="1" showErrorMessage="1" error="Select Priority from the list. Select CANCEL, then press ALT+DOWN ARROW for options, then DOWN ARROW and ENTER to make selection" prompt="Select Priority in this cell. Press ALT+DOWN ARROW for options, then DOWN ARROW and ENTER to make selection" sqref="H2" xr:uid="{00000000-0002-0000-0000-000001000000}">
      <formula1>priorities</formula1>
    </dataValidation>
    <dataValidation allowBlank="1" showInputMessage="1" showErrorMessage="1" prompt="Enter number of days issue Lasts in this cell" sqref="J2" xr:uid="{00000000-0002-0000-0000-000002000000}"/>
    <dataValidation operator="greaterThanOrEqual" allowBlank="1" showInputMessage="1" showErrorMessage="1" prompt="Enter Date in this cell" sqref="I2" xr:uid="{00000000-0002-0000-0000-000003000000}"/>
    <dataValidation allowBlank="1" showInputMessage="1" showErrorMessage="1" prompt="Enter issue Number in this column under this heading. Use heading filters to find specific entries" sqref="B5" xr:uid="{00000000-0002-0000-0000-000004000000}"/>
    <dataValidation allowBlank="1" showInputMessage="1" showErrorMessage="1" prompt="Enter Issue description in this column under this heading" sqref="C5" xr:uid="{00000000-0002-0000-0000-000005000000}"/>
    <dataValidation allowBlank="1" showInputMessage="1" showErrorMessage="1" prompt="Enter issue Type in this column under this heading" sqref="D5" xr:uid="{00000000-0002-0000-0000-000006000000}"/>
    <dataValidation allowBlank="1" showInputMessage="1" showErrorMessage="1" prompt="Enter Priority in this column under this heading" sqref="E5" xr:uid="{00000000-0002-0000-0000-000007000000}"/>
    <dataValidation allowBlank="1" showInputMessage="1" showErrorMessage="1" prompt="Enter issue Opening Date in this column under this heading" sqref="F5" xr:uid="{00000000-0002-0000-0000-000008000000}"/>
    <dataValidation allowBlank="1" showInputMessage="1" showErrorMessage="1" prompt="Enter Opened By name in this column under this heading" sqref="G5" xr:uid="{00000000-0002-0000-0000-000009000000}"/>
    <dataValidation allowBlank="1" showInputMessage="1" showErrorMessage="1" prompt="Enter issue Closing Date in this column under this heading" sqref="H5" xr:uid="{00000000-0002-0000-0000-00000A000000}"/>
    <dataValidation allowBlank="1" showInputMessage="1" showErrorMessage="1" prompt="Enter Closed By name in this column under this heading" sqref="I5" xr:uid="{00000000-0002-0000-0000-00000B000000}"/>
    <dataValidation allowBlank="1" showInputMessage="1" showErrorMessage="1" prompt="Enter Notes in this column under this heading" sqref="J5" xr:uid="{00000000-0002-0000-0000-00000C000000}"/>
    <dataValidation allowBlank="1" showInputMessage="1" showErrorMessage="1" prompt="Title of this worksheet is in this cell. Enter issue Type, Priority, Date, and number of days issue Lasts in cells at right to update Issue Tracker Chart in cell below" sqref="B1:F2" xr:uid="{00000000-0002-0000-0000-00000D000000}"/>
    <dataValidation allowBlank="1" showInputMessage="1" showErrorMessage="1" prompt="Enter number of days issue Lasts in cell below" sqref="J1" xr:uid="{00000000-0002-0000-0000-00000E000000}"/>
    <dataValidation allowBlank="1" showInputMessage="1" showErrorMessage="1" prompt="Enter Date in cell below" sqref="I1" xr:uid="{00000000-0002-0000-0000-00000F000000}"/>
    <dataValidation allowBlank="1" showInputMessage="1" showErrorMessage="1" prompt="Select Priority in cell below" sqref="H1" xr:uid="{00000000-0002-0000-0000-000010000000}"/>
    <dataValidation allowBlank="1" showInputMessage="1" showErrorMessage="1" prompt="Select issue Type in cell below" sqref="G1" xr:uid="{00000000-0002-0000-0000-000011000000}"/>
    <dataValidation allowBlank="1" showInputMessage="1" showErrorMessage="1" prompt="Create a Project Issue Tracker in this workbook. Enter issue details in table starting in cell B5. Issue Tracker Chart is in cell A3" sqref="A1" xr:uid="{00000000-0002-0000-0000-000012000000}"/>
  </dataValidations>
  <printOptions horizontalCentered="1"/>
  <pageMargins left="0.7" right="0.7" top="0.75" bottom="0.75" header="0.3" footer="0.3"/>
  <pageSetup scale="47" fitToHeight="0" orientation="portrait" r:id="rId1"/>
  <headerFooter differentFirst="1">
    <oddFooter>Page &amp;P of &amp;N</oddFooter>
  </headerFooter>
  <ignoredErrors>
    <ignoredError sqref="H7 H9 H63" 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T80"/>
  <sheetViews>
    <sheetView workbookViewId="0"/>
  </sheetViews>
  <sheetFormatPr defaultRowHeight="15.75" x14ac:dyDescent="0.25"/>
  <cols>
    <col min="8" max="8" width="11" customWidth="1"/>
    <col min="10" max="10" width="11.375" customWidth="1"/>
    <col min="14" max="15" width="14.375" customWidth="1"/>
  </cols>
  <sheetData>
    <row r="1" spans="1:20" ht="110.25" x14ac:dyDescent="0.25">
      <c r="A1" t="s">
        <v>102</v>
      </c>
    </row>
    <row r="4" spans="1:20" x14ac:dyDescent="0.25">
      <c r="I4" t="s">
        <v>100</v>
      </c>
      <c r="J4" s="1">
        <f ca="1">DATE((YEAR(TODAY())-1),1,1)</f>
        <v>44927</v>
      </c>
    </row>
    <row r="5" spans="1:20" x14ac:dyDescent="0.25">
      <c r="I5" t="s">
        <v>101</v>
      </c>
      <c r="J5" s="1"/>
    </row>
    <row r="7" spans="1:20" x14ac:dyDescent="0.25">
      <c r="I7" t="s">
        <v>49</v>
      </c>
      <c r="J7">
        <f>'Issue Tracker'!J2</f>
        <v>30</v>
      </c>
    </row>
    <row r="8" spans="1:20" x14ac:dyDescent="0.25">
      <c r="I8" t="s">
        <v>48</v>
      </c>
      <c r="J8" s="1">
        <f ca="1">'Issue Tracker'!I2</f>
        <v>45442</v>
      </c>
      <c r="N8">
        <f ca="1">COUNT(typesUnsorted)</f>
        <v>0</v>
      </c>
    </row>
    <row r="9" spans="1:20" x14ac:dyDescent="0.25">
      <c r="I9" t="s">
        <v>0</v>
      </c>
      <c r="J9" t="str">
        <f>'Issue Tracker'!G2</f>
        <v>*</v>
      </c>
    </row>
    <row r="10" spans="1:20" x14ac:dyDescent="0.25">
      <c r="I10" t="s">
        <v>1</v>
      </c>
      <c r="J10" t="str">
        <f>'Issue Tracker'!H2</f>
        <v>*</v>
      </c>
    </row>
    <row r="12" spans="1:20" x14ac:dyDescent="0.25">
      <c r="N12" t="e">
        <f ca="1">OFFSET($N$16,,,$N$13)</f>
        <v>#VALUE!</v>
      </c>
      <c r="O12" t="e">
        <f ca="1">OFFSET($O$16,,,$O$13)</f>
        <v>#VALUE!</v>
      </c>
    </row>
    <row r="13" spans="1:20" x14ac:dyDescent="0.25">
      <c r="N13">
        <f>COUNTA(N16:N45)-COUNTIF(N16:N45,NA())</f>
        <v>4</v>
      </c>
      <c r="O13">
        <f>COUNTA(O16:O45)-COUNTIF(O16:O45,NA())</f>
        <v>3</v>
      </c>
      <c r="S13" t="s">
        <v>114</v>
      </c>
      <c r="T13" t="s">
        <v>114</v>
      </c>
    </row>
    <row r="14" spans="1:20" ht="31.5" x14ac:dyDescent="0.25">
      <c r="H14" t="s">
        <v>48</v>
      </c>
      <c r="I14" t="s">
        <v>45</v>
      </c>
      <c r="J14" t="s">
        <v>46</v>
      </c>
      <c r="N14" t="s">
        <v>50</v>
      </c>
      <c r="O14" t="s">
        <v>51</v>
      </c>
      <c r="S14" t="s">
        <v>50</v>
      </c>
      <c r="T14" t="s">
        <v>51</v>
      </c>
    </row>
    <row r="15" spans="1:20" x14ac:dyDescent="0.25">
      <c r="N15" t="s">
        <v>47</v>
      </c>
      <c r="O15" t="s">
        <v>47</v>
      </c>
    </row>
    <row r="16" spans="1:20" x14ac:dyDescent="0.25">
      <c r="G16">
        <v>1</v>
      </c>
      <c r="H16" s="1">
        <f t="shared" ref="H16:H47" ca="1" si="0">keydate-days+G16</f>
        <v>45413</v>
      </c>
      <c r="I16">
        <f ca="1">I15+COUNTIFS(Issues[OPENED ON],H16,Issues[TYPE],type,Issues[PRIORITY],priority)</f>
        <v>0</v>
      </c>
      <c r="J16">
        <f ca="1">J15+COUNTIFS(Issues[CLOSED ON],H16,Issues[TYPE],type,Issues[PRIORITY],priority)</f>
        <v>1</v>
      </c>
      <c r="N16" t="str">
        <f t="array" ref="N16">INDEX(Issues[TYPE],MATCH(0,COUNTIF(N$15:N15, Issues[TYPE]),0))</f>
        <v>Type 2</v>
      </c>
      <c r="O16" t="str">
        <f t="array" ref="O16">INDEX(Issues[PRIORITY],MATCH(0,COUNTIF(O$15:O15,Issues[PRIORITY]),0))</f>
        <v>Medium</v>
      </c>
      <c r="S16" t="str">
        <f t="array" aca="1" ref="S16" ca="1">INDEX(typesUnsorted, MATCH(SMALL(COUNTIF(typesUnsorted, "&lt;"&amp;typesUnsorted), ROW(1:1)), COUNTIF(typesUnsorted, "&lt;"&amp;typesUnsorted), 0))</f>
        <v>*</v>
      </c>
      <c r="T16" t="str">
        <f t="array" aca="1" ref="T16" ca="1">INDEX(prioritiesUnsorted, MATCH(SMALL(COUNTIF(prioritiesUnsorted, "&lt;"&amp;prioritiesUnsorted), ROW(1:1)), COUNTIF(prioritiesUnsorted, "&lt;"&amp;prioritiesUnsorted), 0))</f>
        <v>*</v>
      </c>
    </row>
    <row r="17" spans="7:20" x14ac:dyDescent="0.25">
      <c r="G17">
        <v>2</v>
      </c>
      <c r="H17" s="1">
        <f t="shared" ca="1" si="0"/>
        <v>45414</v>
      </c>
      <c r="I17">
        <f ca="1">I16+COUNTIFS(Issues[OPENED ON],H17,Issues[TYPE],type,Issues[PRIORITY],priority)</f>
        <v>0</v>
      </c>
      <c r="J17">
        <f ca="1">J16+COUNTIFS(Issues[CLOSED ON],H17,Issues[TYPE],type,Issues[PRIORITY],priority)</f>
        <v>1</v>
      </c>
      <c r="N17" t="str">
        <f t="array" ref="N17">INDEX(Issues[TYPE],MATCH(0,COUNTIF(N$15:N16, Issues[TYPE]),0))</f>
        <v>Type 3</v>
      </c>
      <c r="O17" t="str">
        <f t="array" ref="O17">INDEX(Issues[PRIORITY],MATCH(0,COUNTIF(O$15:O16,Issues[PRIORITY]),0))</f>
        <v>Low</v>
      </c>
      <c r="S17" t="str">
        <f t="array" aca="1" ref="S17" ca="1">INDEX(typesUnsorted, MATCH(SMALL(COUNTIF(typesUnsorted, "&lt;"&amp;typesUnsorted), ROW(2:2)), COUNTIF(typesUnsorted, "&lt;"&amp;typesUnsorted), 0))</f>
        <v>Type 1</v>
      </c>
      <c r="T17" t="str">
        <f t="array" aca="1" ref="T17" ca="1">INDEX(prioritiesUnsorted, MATCH(SMALL(COUNTIF(prioritiesUnsorted, "&lt;"&amp;prioritiesUnsorted), ROW(2:2)), COUNTIF(prioritiesUnsorted, "&lt;"&amp;prioritiesUnsorted), 0))</f>
        <v>High</v>
      </c>
    </row>
    <row r="18" spans="7:20" x14ac:dyDescent="0.25">
      <c r="G18">
        <v>3</v>
      </c>
      <c r="H18" s="1">
        <f t="shared" ca="1" si="0"/>
        <v>45415</v>
      </c>
      <c r="I18">
        <f ca="1">I17+COUNTIFS(Issues[OPENED ON],H18,Issues[TYPE],type,Issues[PRIORITY],priority)</f>
        <v>0</v>
      </c>
      <c r="J18">
        <f ca="1">J17+COUNTIFS(Issues[CLOSED ON],H18,Issues[TYPE],type,Issues[PRIORITY],priority)</f>
        <v>1</v>
      </c>
      <c r="N18" t="str">
        <f t="array" ref="N18">INDEX(Issues[TYPE],MATCH(0,COUNTIF(N$15:N17, Issues[TYPE]),0))</f>
        <v>Type 1</v>
      </c>
      <c r="O18" t="str">
        <f t="array" ref="O18">INDEX(Issues[PRIORITY],MATCH(0,COUNTIF(O$15:O17,Issues[PRIORITY]),0))</f>
        <v>High</v>
      </c>
      <c r="S18" t="str">
        <f t="array" aca="1" ref="S18" ca="1">INDEX(typesUnsorted, MATCH(SMALL(COUNTIF(typesUnsorted, "&lt;"&amp;typesUnsorted), ROW(3:3)), COUNTIF(typesUnsorted, "&lt;"&amp;typesUnsorted), 0))</f>
        <v>Type 2</v>
      </c>
      <c r="T18" t="str">
        <f t="array" aca="1" ref="T18" ca="1">INDEX(prioritiesUnsorted, MATCH(SMALL(COUNTIF(prioritiesUnsorted, "&lt;"&amp;prioritiesUnsorted), ROW(3:3)), COUNTIF(prioritiesUnsorted, "&lt;"&amp;prioritiesUnsorted), 0))</f>
        <v>Low</v>
      </c>
    </row>
    <row r="19" spans="7:20" x14ac:dyDescent="0.25">
      <c r="G19">
        <v>4</v>
      </c>
      <c r="H19" s="1">
        <f t="shared" ca="1" si="0"/>
        <v>45416</v>
      </c>
      <c r="I19">
        <f ca="1">I18+COUNTIFS(Issues[OPENED ON],H19,Issues[TYPE],type,Issues[PRIORITY],priority)</f>
        <v>0</v>
      </c>
      <c r="J19">
        <f ca="1">J18+COUNTIFS(Issues[CLOSED ON],H19,Issues[TYPE],type,Issues[PRIORITY],priority)</f>
        <v>1</v>
      </c>
      <c r="N19" t="str">
        <f t="array" ref="N19">INDEX(Issues[TYPE],MATCH(0,COUNTIF(N$15:N18, Issues[TYPE]),0))</f>
        <v>Type 4</v>
      </c>
      <c r="O19" t="e">
        <f t="array" ref="O19">INDEX(Issues[PRIORITY],MATCH(0,COUNTIF(O$15:O18,Issues[PRIORITY]),0))</f>
        <v>#N/A</v>
      </c>
      <c r="S19" t="str">
        <f t="array" aca="1" ref="S19" ca="1">INDEX(typesUnsorted, MATCH(SMALL(COUNTIF(typesUnsorted, "&lt;"&amp;typesUnsorted), ROW(4:4)), COUNTIF(typesUnsorted, "&lt;"&amp;typesUnsorted), 0))</f>
        <v>Type 3</v>
      </c>
      <c r="T19" t="str">
        <f t="array" aca="1" ref="T19" ca="1">INDEX(prioritiesUnsorted, MATCH(SMALL(COUNTIF(prioritiesUnsorted, "&lt;"&amp;prioritiesUnsorted), ROW(4:4)), COUNTIF(prioritiesUnsorted, "&lt;"&amp;prioritiesUnsorted), 0))</f>
        <v>Medium</v>
      </c>
    </row>
    <row r="20" spans="7:20" x14ac:dyDescent="0.25">
      <c r="G20">
        <v>5</v>
      </c>
      <c r="H20" s="1">
        <f t="shared" ca="1" si="0"/>
        <v>45417</v>
      </c>
      <c r="I20">
        <f ca="1">I19+COUNTIFS(Issues[OPENED ON],H20,Issues[TYPE],type,Issues[PRIORITY],priority)</f>
        <v>2</v>
      </c>
      <c r="J20">
        <f ca="1">J19+COUNTIFS(Issues[CLOSED ON],H20,Issues[TYPE],type,Issues[PRIORITY],priority)</f>
        <v>2</v>
      </c>
      <c r="N20" t="e">
        <f t="array" ref="N20">INDEX(Issues[TYPE],MATCH(0,COUNTIF(N$15:N19, Issues[TYPE]),0))</f>
        <v>#N/A</v>
      </c>
      <c r="O20" t="e">
        <f t="array" ref="O20">INDEX(Issues[PRIORITY],MATCH(0,COUNTIF(O$15:O19,Issues[PRIORITY]),0))</f>
        <v>#N/A</v>
      </c>
      <c r="S20" t="str">
        <f t="array" aca="1" ref="S20" ca="1">INDEX(typesUnsorted, MATCH(SMALL(COUNTIF(typesUnsorted, "&lt;"&amp;typesUnsorted), ROW(5:5)), COUNTIF(typesUnsorted, "&lt;"&amp;typesUnsorted), 0))</f>
        <v>Type 4</v>
      </c>
      <c r="T20" t="e">
        <f t="array" aca="1" ref="T20" ca="1">INDEX(prioritiesUnsorted, MATCH(SMALL(COUNTIF(prioritiesUnsorted, "&lt;"&amp;prioritiesUnsorted), ROW(5:5)), COUNTIF(prioritiesUnsorted, "&lt;"&amp;prioritiesUnsorted), 0))</f>
        <v>#NUM!</v>
      </c>
    </row>
    <row r="21" spans="7:20" x14ac:dyDescent="0.25">
      <c r="G21">
        <v>6</v>
      </c>
      <c r="H21" s="1">
        <f t="shared" ca="1" si="0"/>
        <v>45418</v>
      </c>
      <c r="I21">
        <f ca="1">I20+COUNTIFS(Issues[OPENED ON],H21,Issues[TYPE],type,Issues[PRIORITY],priority)</f>
        <v>2</v>
      </c>
      <c r="J21">
        <f ca="1">J20+COUNTIFS(Issues[CLOSED ON],H21,Issues[TYPE],type,Issues[PRIORITY],priority)</f>
        <v>2</v>
      </c>
      <c r="N21" t="e">
        <f t="array" ref="N21">INDEX(Issues[TYPE],MATCH(0,COUNTIF(N$15:N20, Issues[TYPE]),0))</f>
        <v>#N/A</v>
      </c>
      <c r="O21" t="e">
        <f t="array" ref="O21">INDEX(Issues[PRIORITY],MATCH(0,COUNTIF(O$15:O20,Issues[PRIORITY]),0))</f>
        <v>#N/A</v>
      </c>
      <c r="S21" t="e">
        <f t="array" aca="1" ref="S21" ca="1">INDEX(typesUnsorted, MATCH(SMALL(COUNTIF(typesUnsorted, "&lt;"&amp;typesUnsorted), ROW(6:6)), COUNTIF(typesUnsorted, "&lt;"&amp;typesUnsorted), 0))</f>
        <v>#NUM!</v>
      </c>
      <c r="T21" t="e">
        <f t="array" aca="1" ref="T21" ca="1">INDEX(prioritiesUnsorted, MATCH(SMALL(COUNTIF(prioritiesUnsorted, "&lt;"&amp;prioritiesUnsorted), ROW(6:6)), COUNTIF(prioritiesUnsorted, "&lt;"&amp;prioritiesUnsorted), 0))</f>
        <v>#NUM!</v>
      </c>
    </row>
    <row r="22" spans="7:20" x14ac:dyDescent="0.25">
      <c r="G22">
        <v>7</v>
      </c>
      <c r="H22" s="1">
        <f t="shared" ca="1" si="0"/>
        <v>45419</v>
      </c>
      <c r="I22">
        <f ca="1">I21+COUNTIFS(Issues[OPENED ON],H22,Issues[TYPE],type,Issues[PRIORITY],priority)</f>
        <v>2</v>
      </c>
      <c r="J22">
        <f ca="1">J21+COUNTIFS(Issues[CLOSED ON],H22,Issues[TYPE],type,Issues[PRIORITY],priority)</f>
        <v>2</v>
      </c>
      <c r="N22" t="e">
        <f t="array" ref="N22">INDEX(Issues[TYPE],MATCH(0,COUNTIF(N$15:N21, Issues[TYPE]),0))</f>
        <v>#N/A</v>
      </c>
      <c r="O22" t="e">
        <f t="array" ref="O22">INDEX(Issues[PRIORITY],MATCH(0,COUNTIF(O$15:O21,Issues[PRIORITY]),0))</f>
        <v>#N/A</v>
      </c>
      <c r="S22" t="e">
        <f t="array" aca="1" ref="S22" ca="1">INDEX(typesUnsorted, MATCH(SMALL(COUNTIF(typesUnsorted, "&lt;"&amp;typesUnsorted), ROW(7:7)), COUNTIF(typesUnsorted, "&lt;"&amp;typesUnsorted), 0))</f>
        <v>#NUM!</v>
      </c>
      <c r="T22" t="e">
        <f t="array" aca="1" ref="T22" ca="1">INDEX(prioritiesUnsorted, MATCH(SMALL(COUNTIF(prioritiesUnsorted, "&lt;"&amp;prioritiesUnsorted), ROW(7:7)), COUNTIF(prioritiesUnsorted, "&lt;"&amp;prioritiesUnsorted), 0))</f>
        <v>#NUM!</v>
      </c>
    </row>
    <row r="23" spans="7:20" x14ac:dyDescent="0.25">
      <c r="G23">
        <v>8</v>
      </c>
      <c r="H23" s="1">
        <f t="shared" ca="1" si="0"/>
        <v>45420</v>
      </c>
      <c r="I23">
        <f ca="1">I22+COUNTIFS(Issues[OPENED ON],H23,Issues[TYPE],type,Issues[PRIORITY],priority)</f>
        <v>3</v>
      </c>
      <c r="J23">
        <f ca="1">J22+COUNTIFS(Issues[CLOSED ON],H23,Issues[TYPE],type,Issues[PRIORITY],priority)</f>
        <v>2</v>
      </c>
      <c r="N23" t="e">
        <f t="array" ref="N23">INDEX(Issues[TYPE],MATCH(0,COUNTIF(N$15:N22, Issues[TYPE]),0))</f>
        <v>#N/A</v>
      </c>
      <c r="O23" t="e">
        <f t="array" ref="O23">INDEX(Issues[PRIORITY],MATCH(0,COUNTIF(O$15:O22,Issues[PRIORITY]),0))</f>
        <v>#N/A</v>
      </c>
      <c r="S23" t="e">
        <f t="array" aca="1" ref="S23" ca="1">INDEX(typesUnsorted, MATCH(SMALL(COUNTIF(typesUnsorted, "&lt;"&amp;typesUnsorted), ROW(8:8)), COUNTIF(typesUnsorted, "&lt;"&amp;typesUnsorted), 0))</f>
        <v>#NUM!</v>
      </c>
      <c r="T23" t="e">
        <f t="array" aca="1" ref="T23" ca="1">INDEX(prioritiesUnsorted, MATCH(SMALL(COUNTIF(prioritiesUnsorted, "&lt;"&amp;prioritiesUnsorted), ROW(8:8)), COUNTIF(prioritiesUnsorted, "&lt;"&amp;prioritiesUnsorted), 0))</f>
        <v>#NUM!</v>
      </c>
    </row>
    <row r="24" spans="7:20" x14ac:dyDescent="0.25">
      <c r="G24">
        <v>9</v>
      </c>
      <c r="H24" s="1">
        <f t="shared" ca="1" si="0"/>
        <v>45421</v>
      </c>
      <c r="I24">
        <f ca="1">I23+COUNTIFS(Issues[OPENED ON],H24,Issues[TYPE],type,Issues[PRIORITY],priority)</f>
        <v>3</v>
      </c>
      <c r="J24">
        <f ca="1">J23+COUNTIFS(Issues[CLOSED ON],H24,Issues[TYPE],type,Issues[PRIORITY],priority)</f>
        <v>3</v>
      </c>
      <c r="N24" t="e">
        <f t="array" ref="N24">INDEX(Issues[TYPE],MATCH(0,COUNTIF(N$15:N23, Issues[TYPE]),0))</f>
        <v>#N/A</v>
      </c>
      <c r="O24" t="e">
        <f t="array" ref="O24">INDEX(Issues[PRIORITY],MATCH(0,COUNTIF(O$15:O23,Issues[PRIORITY]),0))</f>
        <v>#N/A</v>
      </c>
      <c r="S24" t="e">
        <f t="array" aca="1" ref="S24" ca="1">INDEX(typesUnsorted, MATCH(SMALL(COUNTIF(typesUnsorted, "&lt;"&amp;typesUnsorted), ROW(9:9)), COUNTIF(typesUnsorted, "&lt;"&amp;typesUnsorted), 0))</f>
        <v>#NUM!</v>
      </c>
      <c r="T24" t="e">
        <f t="array" aca="1" ref="T24" ca="1">INDEX(prioritiesUnsorted, MATCH(SMALL(COUNTIF(prioritiesUnsorted, "&lt;"&amp;prioritiesUnsorted), ROW(9:9)), COUNTIF(prioritiesUnsorted, "&lt;"&amp;prioritiesUnsorted), 0))</f>
        <v>#NUM!</v>
      </c>
    </row>
    <row r="25" spans="7:20" x14ac:dyDescent="0.25">
      <c r="G25">
        <v>10</v>
      </c>
      <c r="H25" s="1">
        <f t="shared" ca="1" si="0"/>
        <v>45422</v>
      </c>
      <c r="I25">
        <f ca="1">I24+COUNTIFS(Issues[OPENED ON],H25,Issues[TYPE],type,Issues[PRIORITY],priority)</f>
        <v>3</v>
      </c>
      <c r="J25">
        <f ca="1">J24+COUNTIFS(Issues[CLOSED ON],H25,Issues[TYPE],type,Issues[PRIORITY],priority)</f>
        <v>3</v>
      </c>
      <c r="N25" t="e">
        <f t="array" ref="N25">INDEX(Issues[TYPE],MATCH(0,COUNTIF(N$15:N24, Issues[TYPE]),0))</f>
        <v>#N/A</v>
      </c>
      <c r="O25" t="e">
        <f t="array" ref="O25">INDEX(Issues[PRIORITY],MATCH(0,COUNTIF(O$15:O24,Issues[PRIORITY]),0))</f>
        <v>#N/A</v>
      </c>
      <c r="S25" t="e">
        <f t="array" aca="1" ref="S25" ca="1">INDEX(typesUnsorted, MATCH(SMALL(COUNTIF(typesUnsorted, "&lt;"&amp;typesUnsorted), ROW(10:10)), COUNTIF(typesUnsorted, "&lt;"&amp;typesUnsorted), 0))</f>
        <v>#NUM!</v>
      </c>
      <c r="T25" t="e">
        <f t="array" aca="1" ref="T25" ca="1">INDEX(prioritiesUnsorted, MATCH(SMALL(COUNTIF(prioritiesUnsorted, "&lt;"&amp;prioritiesUnsorted), ROW(10:10)), COUNTIF(prioritiesUnsorted, "&lt;"&amp;prioritiesUnsorted), 0))</f>
        <v>#NUM!</v>
      </c>
    </row>
    <row r="26" spans="7:20" x14ac:dyDescent="0.25">
      <c r="G26">
        <v>11</v>
      </c>
      <c r="H26" s="1">
        <f t="shared" ca="1" si="0"/>
        <v>45423</v>
      </c>
      <c r="I26">
        <f ca="1">I25+COUNTIFS(Issues[OPENED ON],H26,Issues[TYPE],type,Issues[PRIORITY],priority)</f>
        <v>5</v>
      </c>
      <c r="J26">
        <f ca="1">J25+COUNTIFS(Issues[CLOSED ON],H26,Issues[TYPE],type,Issues[PRIORITY],priority)</f>
        <v>4</v>
      </c>
      <c r="N26" t="e">
        <f t="array" ref="N26">INDEX(Issues[TYPE],MATCH(0,COUNTIF(N$15:N25, Issues[TYPE]),0))</f>
        <v>#N/A</v>
      </c>
      <c r="O26" t="e">
        <f t="array" ref="O26">INDEX(Issues[PRIORITY],MATCH(0,COUNTIF(O$15:O25,Issues[PRIORITY]),0))</f>
        <v>#N/A</v>
      </c>
      <c r="S26" t="e">
        <f t="array" aca="1" ref="S26" ca="1">INDEX(typesUnsorted, MATCH(SMALL(COUNTIF(typesUnsorted, "&lt;"&amp;typesUnsorted), ROW(11:11)), COUNTIF(typesUnsorted, "&lt;"&amp;typesUnsorted), 0))</f>
        <v>#NUM!</v>
      </c>
      <c r="T26" t="e">
        <f t="array" aca="1" ref="T26" ca="1">INDEX(prioritiesUnsorted, MATCH(SMALL(COUNTIF(prioritiesUnsorted, "&lt;"&amp;prioritiesUnsorted), ROW(11:11)), COUNTIF(prioritiesUnsorted, "&lt;"&amp;prioritiesUnsorted), 0))</f>
        <v>#NUM!</v>
      </c>
    </row>
    <row r="27" spans="7:20" x14ac:dyDescent="0.25">
      <c r="G27">
        <v>12</v>
      </c>
      <c r="H27" s="1">
        <f t="shared" ca="1" si="0"/>
        <v>45424</v>
      </c>
      <c r="I27">
        <f ca="1">I26+COUNTIFS(Issues[OPENED ON],H27,Issues[TYPE],type,Issues[PRIORITY],priority)</f>
        <v>6</v>
      </c>
      <c r="J27">
        <f ca="1">J26+COUNTIFS(Issues[CLOSED ON],H27,Issues[TYPE],type,Issues[PRIORITY],priority)</f>
        <v>6</v>
      </c>
      <c r="N27" t="e">
        <f t="array" ref="N27">INDEX(Issues[TYPE],MATCH(0,COUNTIF(N$15:N26, Issues[TYPE]),0))</f>
        <v>#N/A</v>
      </c>
      <c r="O27" t="e">
        <f t="array" ref="O27">INDEX(Issues[PRIORITY],MATCH(0,COUNTIF(O$15:O26,Issues[PRIORITY]),0))</f>
        <v>#N/A</v>
      </c>
      <c r="S27" t="e">
        <f t="array" aca="1" ref="S27" ca="1">INDEX(typesUnsorted, MATCH(SMALL(COUNTIF(typesUnsorted, "&lt;"&amp;typesUnsorted), ROW(12:12)), COUNTIF(typesUnsorted, "&lt;"&amp;typesUnsorted), 0))</f>
        <v>#NUM!</v>
      </c>
      <c r="T27" t="e">
        <f t="array" aca="1" ref="T27" ca="1">INDEX(prioritiesUnsorted, MATCH(SMALL(COUNTIF(prioritiesUnsorted, "&lt;"&amp;prioritiesUnsorted), ROW(12:12)), COUNTIF(prioritiesUnsorted, "&lt;"&amp;prioritiesUnsorted), 0))</f>
        <v>#NUM!</v>
      </c>
    </row>
    <row r="28" spans="7:20" x14ac:dyDescent="0.25">
      <c r="G28">
        <v>13</v>
      </c>
      <c r="H28" s="1">
        <f t="shared" ca="1" si="0"/>
        <v>45425</v>
      </c>
      <c r="I28">
        <f ca="1">I27+COUNTIFS(Issues[OPENED ON],H28,Issues[TYPE],type,Issues[PRIORITY],priority)</f>
        <v>6</v>
      </c>
      <c r="J28">
        <f ca="1">J27+COUNTIFS(Issues[CLOSED ON],H28,Issues[TYPE],type,Issues[PRIORITY],priority)</f>
        <v>6</v>
      </c>
      <c r="N28" t="e">
        <f t="array" ref="N28">INDEX(Issues[TYPE],MATCH(0,COUNTIF(N$15:N27, Issues[TYPE]),0))</f>
        <v>#N/A</v>
      </c>
      <c r="O28" t="e">
        <f t="array" ref="O28">INDEX(Issues[PRIORITY],MATCH(0,COUNTIF(O$15:O27,Issues[PRIORITY]),0))</f>
        <v>#N/A</v>
      </c>
      <c r="S28" t="e">
        <f t="array" aca="1" ref="S28" ca="1">INDEX(typesUnsorted, MATCH(SMALL(COUNTIF(typesUnsorted, "&lt;"&amp;typesUnsorted), ROW(13:13)), COUNTIF(typesUnsorted, "&lt;"&amp;typesUnsorted), 0))</f>
        <v>#NUM!</v>
      </c>
      <c r="T28" t="e">
        <f t="array" aca="1" ref="T28" ca="1">INDEX(prioritiesUnsorted, MATCH(SMALL(COUNTIF(prioritiesUnsorted, "&lt;"&amp;prioritiesUnsorted), ROW(13:13)), COUNTIF(prioritiesUnsorted, "&lt;"&amp;prioritiesUnsorted), 0))</f>
        <v>#NUM!</v>
      </c>
    </row>
    <row r="29" spans="7:20" x14ac:dyDescent="0.25">
      <c r="G29">
        <v>14</v>
      </c>
      <c r="H29" s="1">
        <f t="shared" ca="1" si="0"/>
        <v>45426</v>
      </c>
      <c r="I29">
        <f ca="1">I28+COUNTIFS(Issues[OPENED ON],H29,Issues[TYPE],type,Issues[PRIORITY],priority)</f>
        <v>6</v>
      </c>
      <c r="J29">
        <f ca="1">J28+COUNTIFS(Issues[CLOSED ON],H29,Issues[TYPE],type,Issues[PRIORITY],priority)</f>
        <v>7</v>
      </c>
      <c r="N29" t="e">
        <f t="array" ref="N29">INDEX(Issues[TYPE],MATCH(0,COUNTIF(N$15:N28, Issues[TYPE]),0))</f>
        <v>#N/A</v>
      </c>
      <c r="O29" t="e">
        <f t="array" ref="O29">INDEX(Issues[PRIORITY],MATCH(0,COUNTIF(O$15:O28,Issues[PRIORITY]),0))</f>
        <v>#N/A</v>
      </c>
      <c r="S29" t="e">
        <f t="array" aca="1" ref="S29" ca="1">INDEX(typesUnsorted, MATCH(SMALL(COUNTIF(typesUnsorted, "&lt;"&amp;typesUnsorted), ROW(14:14)), COUNTIF(typesUnsorted, "&lt;"&amp;typesUnsorted), 0))</f>
        <v>#NUM!</v>
      </c>
      <c r="T29" t="e">
        <f t="array" aca="1" ref="T29" ca="1">INDEX(prioritiesUnsorted, MATCH(SMALL(COUNTIF(prioritiesUnsorted, "&lt;"&amp;prioritiesUnsorted), ROW(14:14)), COUNTIF(prioritiesUnsorted, "&lt;"&amp;prioritiesUnsorted), 0))</f>
        <v>#NUM!</v>
      </c>
    </row>
    <row r="30" spans="7:20" x14ac:dyDescent="0.25">
      <c r="G30">
        <v>15</v>
      </c>
      <c r="H30" s="1">
        <f t="shared" ca="1" si="0"/>
        <v>45427</v>
      </c>
      <c r="I30">
        <f ca="1">I29+COUNTIFS(Issues[OPENED ON],H30,Issues[TYPE],type,Issues[PRIORITY],priority)</f>
        <v>7</v>
      </c>
      <c r="J30">
        <f ca="1">J29+COUNTIFS(Issues[CLOSED ON],H30,Issues[TYPE],type,Issues[PRIORITY],priority)</f>
        <v>8</v>
      </c>
      <c r="N30" t="e">
        <f t="array" ref="N30">INDEX(Issues[TYPE],MATCH(0,COUNTIF(N$15:N29, Issues[TYPE]),0))</f>
        <v>#N/A</v>
      </c>
      <c r="O30" t="e">
        <f t="array" ref="O30">INDEX(Issues[PRIORITY],MATCH(0,COUNTIF(O$15:O29,Issues[PRIORITY]),0))</f>
        <v>#N/A</v>
      </c>
      <c r="S30" t="e">
        <f t="array" aca="1" ref="S30" ca="1">INDEX(typesUnsorted, MATCH(SMALL(COUNTIF(typesUnsorted, "&lt;"&amp;typesUnsorted), ROW(15:15)), COUNTIF(typesUnsorted, "&lt;"&amp;typesUnsorted), 0))</f>
        <v>#NUM!</v>
      </c>
      <c r="T30" t="e">
        <f t="array" aca="1" ref="T30" ca="1">INDEX(prioritiesUnsorted, MATCH(SMALL(COUNTIF(prioritiesUnsorted, "&lt;"&amp;prioritiesUnsorted), ROW(15:15)), COUNTIF(prioritiesUnsorted, "&lt;"&amp;prioritiesUnsorted), 0))</f>
        <v>#NUM!</v>
      </c>
    </row>
    <row r="31" spans="7:20" x14ac:dyDescent="0.25">
      <c r="G31">
        <v>16</v>
      </c>
      <c r="H31" s="1">
        <f t="shared" ca="1" si="0"/>
        <v>45428</v>
      </c>
      <c r="I31">
        <f ca="1">I30+COUNTIFS(Issues[OPENED ON],H31,Issues[TYPE],type,Issues[PRIORITY],priority)</f>
        <v>7</v>
      </c>
      <c r="J31">
        <f ca="1">J30+COUNTIFS(Issues[CLOSED ON],H31,Issues[TYPE],type,Issues[PRIORITY],priority)</f>
        <v>8</v>
      </c>
      <c r="N31" t="e">
        <f t="array" ref="N31">INDEX(Issues[TYPE],MATCH(0,COUNTIF(N$15:N30, Issues[TYPE]),0))</f>
        <v>#N/A</v>
      </c>
      <c r="O31" t="e">
        <f t="array" ref="O31">INDEX(Issues[PRIORITY],MATCH(0,COUNTIF(O$15:O30,Issues[PRIORITY]),0))</f>
        <v>#N/A</v>
      </c>
      <c r="S31" t="e">
        <f t="array" aca="1" ref="S31" ca="1">INDEX(typesUnsorted, MATCH(SMALL(COUNTIF(typesUnsorted, "&lt;"&amp;typesUnsorted), ROW(16:16)), COUNTIF(typesUnsorted, "&lt;"&amp;typesUnsorted), 0))</f>
        <v>#NUM!</v>
      </c>
      <c r="T31" t="e">
        <f t="array" aca="1" ref="T31" ca="1">INDEX(prioritiesUnsorted, MATCH(SMALL(COUNTIF(prioritiesUnsorted, "&lt;"&amp;prioritiesUnsorted), ROW(16:16)), COUNTIF(prioritiesUnsorted, "&lt;"&amp;prioritiesUnsorted), 0))</f>
        <v>#NUM!</v>
      </c>
    </row>
    <row r="32" spans="7:20" x14ac:dyDescent="0.25">
      <c r="G32">
        <v>17</v>
      </c>
      <c r="H32" s="1">
        <f t="shared" ca="1" si="0"/>
        <v>45429</v>
      </c>
      <c r="I32">
        <f ca="1">I31+COUNTIFS(Issues[OPENED ON],H32,Issues[TYPE],type,Issues[PRIORITY],priority)</f>
        <v>10</v>
      </c>
      <c r="J32">
        <f ca="1">J31+COUNTIFS(Issues[CLOSED ON],H32,Issues[TYPE],type,Issues[PRIORITY],priority)</f>
        <v>9</v>
      </c>
      <c r="N32" t="e">
        <f t="array" ref="N32">INDEX(Issues[TYPE],MATCH(0,COUNTIF(N$15:N31, Issues[TYPE]),0))</f>
        <v>#N/A</v>
      </c>
      <c r="O32" t="e">
        <f t="array" ref="O32">INDEX(Issues[PRIORITY],MATCH(0,COUNTIF(O$15:O31,Issues[PRIORITY]),0))</f>
        <v>#N/A</v>
      </c>
      <c r="S32" t="e">
        <f t="array" aca="1" ref="S32" ca="1">INDEX(typesUnsorted, MATCH(SMALL(COUNTIF(typesUnsorted, "&lt;"&amp;typesUnsorted), ROW(17:17)), COUNTIF(typesUnsorted, "&lt;"&amp;typesUnsorted), 0))</f>
        <v>#NUM!</v>
      </c>
      <c r="T32" t="e">
        <f t="array" aca="1" ref="T32" ca="1">INDEX(prioritiesUnsorted, MATCH(SMALL(COUNTIF(prioritiesUnsorted, "&lt;"&amp;prioritiesUnsorted), ROW(17:17)), COUNTIF(prioritiesUnsorted, "&lt;"&amp;prioritiesUnsorted), 0))</f>
        <v>#NUM!</v>
      </c>
    </row>
    <row r="33" spans="7:20" x14ac:dyDescent="0.25">
      <c r="G33">
        <v>18</v>
      </c>
      <c r="H33" s="1">
        <f t="shared" ca="1" si="0"/>
        <v>45430</v>
      </c>
      <c r="I33">
        <f ca="1">I32+COUNTIFS(Issues[OPENED ON],H33,Issues[TYPE],type,Issues[PRIORITY],priority)</f>
        <v>10</v>
      </c>
      <c r="J33">
        <f ca="1">J32+COUNTIFS(Issues[CLOSED ON],H33,Issues[TYPE],type,Issues[PRIORITY],priority)</f>
        <v>9</v>
      </c>
      <c r="N33" t="e">
        <f t="array" ref="N33">INDEX(Issues[TYPE],MATCH(0,COUNTIF(N$15:N32, Issues[TYPE]),0))</f>
        <v>#N/A</v>
      </c>
      <c r="O33" t="e">
        <f t="array" ref="O33">INDEX(Issues[PRIORITY],MATCH(0,COUNTIF(O$15:O32,Issues[PRIORITY]),0))</f>
        <v>#N/A</v>
      </c>
      <c r="S33" t="e">
        <f t="array" aca="1" ref="S33" ca="1">INDEX(typesUnsorted, MATCH(SMALL(COUNTIF(typesUnsorted, "&lt;"&amp;typesUnsorted), ROW(18:18)), COUNTIF(typesUnsorted, "&lt;"&amp;typesUnsorted), 0))</f>
        <v>#NUM!</v>
      </c>
      <c r="T33" t="e">
        <f t="array" aca="1" ref="T33" ca="1">INDEX(prioritiesUnsorted, MATCH(SMALL(COUNTIF(prioritiesUnsorted, "&lt;"&amp;prioritiesUnsorted), ROW(18:18)), COUNTIF(prioritiesUnsorted, "&lt;"&amp;prioritiesUnsorted), 0))</f>
        <v>#NUM!</v>
      </c>
    </row>
    <row r="34" spans="7:20" x14ac:dyDescent="0.25">
      <c r="G34">
        <v>19</v>
      </c>
      <c r="H34" s="1">
        <f t="shared" ca="1" si="0"/>
        <v>45431</v>
      </c>
      <c r="I34">
        <f ca="1">I33+COUNTIFS(Issues[OPENED ON],H34,Issues[TYPE],type,Issues[PRIORITY],priority)</f>
        <v>10</v>
      </c>
      <c r="J34">
        <f ca="1">J33+COUNTIFS(Issues[CLOSED ON],H34,Issues[TYPE],type,Issues[PRIORITY],priority)</f>
        <v>10</v>
      </c>
      <c r="N34" t="e">
        <f t="array" ref="N34">INDEX(Issues[TYPE],MATCH(0,COUNTIF(N$15:N33, Issues[TYPE]),0))</f>
        <v>#N/A</v>
      </c>
      <c r="O34" t="e">
        <f t="array" ref="O34">INDEX(Issues[PRIORITY],MATCH(0,COUNTIF(O$15:O33,Issues[PRIORITY]),0))</f>
        <v>#N/A</v>
      </c>
      <c r="S34" t="e">
        <f t="array" aca="1" ref="S34" ca="1">INDEX(typesUnsorted, MATCH(SMALL(COUNTIF(typesUnsorted, "&lt;"&amp;typesUnsorted), ROW(19:19)), COUNTIF(typesUnsorted, "&lt;"&amp;typesUnsorted), 0))</f>
        <v>#NUM!</v>
      </c>
      <c r="T34" t="e">
        <f t="array" aca="1" ref="T34" ca="1">INDEX(prioritiesUnsorted, MATCH(SMALL(COUNTIF(prioritiesUnsorted, "&lt;"&amp;prioritiesUnsorted), ROW(19:19)), COUNTIF(prioritiesUnsorted, "&lt;"&amp;prioritiesUnsorted), 0))</f>
        <v>#NUM!</v>
      </c>
    </row>
    <row r="35" spans="7:20" x14ac:dyDescent="0.25">
      <c r="G35">
        <v>20</v>
      </c>
      <c r="H35" s="1">
        <f t="shared" ca="1" si="0"/>
        <v>45432</v>
      </c>
      <c r="I35">
        <f ca="1">I34+COUNTIFS(Issues[OPENED ON],H35,Issues[TYPE],type,Issues[PRIORITY],priority)</f>
        <v>10</v>
      </c>
      <c r="J35">
        <f ca="1">J34+COUNTIFS(Issues[CLOSED ON],H35,Issues[TYPE],type,Issues[PRIORITY],priority)</f>
        <v>10</v>
      </c>
      <c r="N35" t="e">
        <f t="array" ref="N35">INDEX(Issues[TYPE],MATCH(0,COUNTIF(N$15:N34, Issues[TYPE]),0))</f>
        <v>#N/A</v>
      </c>
      <c r="O35" t="e">
        <f t="array" ref="O35">INDEX(Issues[PRIORITY],MATCH(0,COUNTIF(O$15:O34,Issues[PRIORITY]),0))</f>
        <v>#N/A</v>
      </c>
      <c r="S35" t="e">
        <f t="array" aca="1" ref="S35" ca="1">INDEX(typesUnsorted, MATCH(SMALL(COUNTIF(typesUnsorted, "&lt;"&amp;typesUnsorted), ROW(20:20)), COUNTIF(typesUnsorted, "&lt;"&amp;typesUnsorted), 0))</f>
        <v>#NUM!</v>
      </c>
      <c r="T35" t="e">
        <f t="array" aca="1" ref="T35" ca="1">INDEX(prioritiesUnsorted, MATCH(SMALL(COUNTIF(prioritiesUnsorted, "&lt;"&amp;prioritiesUnsorted), ROW(20:20)), COUNTIF(prioritiesUnsorted, "&lt;"&amp;prioritiesUnsorted), 0))</f>
        <v>#NUM!</v>
      </c>
    </row>
    <row r="36" spans="7:20" x14ac:dyDescent="0.25">
      <c r="G36">
        <v>21</v>
      </c>
      <c r="H36" s="1">
        <f t="shared" ca="1" si="0"/>
        <v>45433</v>
      </c>
      <c r="I36">
        <f ca="1">I35+COUNTIFS(Issues[OPENED ON],H36,Issues[TYPE],type,Issues[PRIORITY],priority)</f>
        <v>11</v>
      </c>
      <c r="J36">
        <f ca="1">J35+COUNTIFS(Issues[CLOSED ON],H36,Issues[TYPE],type,Issues[PRIORITY],priority)</f>
        <v>12</v>
      </c>
      <c r="N36" t="e">
        <f t="array" ref="N36">INDEX(Issues[TYPE],MATCH(0,COUNTIF(N$15:N35, Issues[TYPE]),0))</f>
        <v>#N/A</v>
      </c>
      <c r="O36" t="e">
        <f t="array" ref="O36">INDEX(Issues[PRIORITY],MATCH(0,COUNTIF(O$15:O35,Issues[PRIORITY]),0))</f>
        <v>#N/A</v>
      </c>
      <c r="S36" t="e">
        <f t="array" aca="1" ref="S36" ca="1">INDEX(typesUnsorted, MATCH(SMALL(COUNTIF(typesUnsorted, "&lt;"&amp;typesUnsorted), ROW(21:21)), COUNTIF(typesUnsorted, "&lt;"&amp;typesUnsorted), 0))</f>
        <v>#NUM!</v>
      </c>
      <c r="T36" t="e">
        <f t="array" aca="1" ref="T36" ca="1">INDEX(prioritiesUnsorted, MATCH(SMALL(COUNTIF(prioritiesUnsorted, "&lt;"&amp;prioritiesUnsorted), ROW(21:21)), COUNTIF(prioritiesUnsorted, "&lt;"&amp;prioritiesUnsorted), 0))</f>
        <v>#NUM!</v>
      </c>
    </row>
    <row r="37" spans="7:20" x14ac:dyDescent="0.25">
      <c r="G37">
        <v>22</v>
      </c>
      <c r="H37" s="1">
        <f t="shared" ca="1" si="0"/>
        <v>45434</v>
      </c>
      <c r="I37">
        <f ca="1">I36+COUNTIFS(Issues[OPENED ON],H37,Issues[TYPE],type,Issues[PRIORITY],priority)</f>
        <v>11</v>
      </c>
      <c r="J37">
        <f ca="1">J36+COUNTIFS(Issues[CLOSED ON],H37,Issues[TYPE],type,Issues[PRIORITY],priority)</f>
        <v>12</v>
      </c>
      <c r="N37" t="e">
        <f t="array" ref="N37">INDEX(Issues[TYPE],MATCH(0,COUNTIF(N$15:N36, Issues[TYPE]),0))</f>
        <v>#N/A</v>
      </c>
      <c r="O37" t="e">
        <f t="array" ref="O37">INDEX(Issues[PRIORITY],MATCH(0,COUNTIF(O$15:O36,Issues[PRIORITY]),0))</f>
        <v>#N/A</v>
      </c>
      <c r="S37" t="e">
        <f t="array" aca="1" ref="S37" ca="1">INDEX(typesUnsorted, MATCH(SMALL(COUNTIF(typesUnsorted, "&lt;"&amp;typesUnsorted), ROW(22:22)), COUNTIF(typesUnsorted, "&lt;"&amp;typesUnsorted), 0))</f>
        <v>#NUM!</v>
      </c>
      <c r="T37" t="e">
        <f t="array" aca="1" ref="T37" ca="1">INDEX(prioritiesUnsorted, MATCH(SMALL(COUNTIF(prioritiesUnsorted, "&lt;"&amp;prioritiesUnsorted), ROW(22:22)), COUNTIF(prioritiesUnsorted, "&lt;"&amp;prioritiesUnsorted), 0))</f>
        <v>#NUM!</v>
      </c>
    </row>
    <row r="38" spans="7:20" x14ac:dyDescent="0.25">
      <c r="G38">
        <v>23</v>
      </c>
      <c r="H38" s="1">
        <f t="shared" ca="1" si="0"/>
        <v>45435</v>
      </c>
      <c r="I38">
        <f ca="1">I37+COUNTIFS(Issues[OPENED ON],H38,Issues[TYPE],type,Issues[PRIORITY],priority)</f>
        <v>11</v>
      </c>
      <c r="J38">
        <f ca="1">J37+COUNTIFS(Issues[CLOSED ON],H38,Issues[TYPE],type,Issues[PRIORITY],priority)</f>
        <v>12</v>
      </c>
      <c r="N38" t="e">
        <f t="array" ref="N38">INDEX(Issues[TYPE],MATCH(0,COUNTIF(N$15:N37, Issues[TYPE]),0))</f>
        <v>#N/A</v>
      </c>
      <c r="O38" t="e">
        <f t="array" ref="O38">INDEX(Issues[PRIORITY],MATCH(0,COUNTIF(O$15:O37,Issues[PRIORITY]),0))</f>
        <v>#N/A</v>
      </c>
      <c r="S38" t="e">
        <f t="array" aca="1" ref="S38" ca="1">INDEX(typesUnsorted, MATCH(SMALL(COUNTIF(typesUnsorted, "&lt;"&amp;typesUnsorted), ROW(23:23)), COUNTIF(typesUnsorted, "&lt;"&amp;typesUnsorted), 0))</f>
        <v>#NUM!</v>
      </c>
      <c r="T38" t="e">
        <f t="array" aca="1" ref="T38" ca="1">INDEX(prioritiesUnsorted, MATCH(SMALL(COUNTIF(prioritiesUnsorted, "&lt;"&amp;prioritiesUnsorted), ROW(23:23)), COUNTIF(prioritiesUnsorted, "&lt;"&amp;prioritiesUnsorted), 0))</f>
        <v>#NUM!</v>
      </c>
    </row>
    <row r="39" spans="7:20" x14ac:dyDescent="0.25">
      <c r="G39">
        <v>24</v>
      </c>
      <c r="H39" s="1">
        <f t="shared" ca="1" si="0"/>
        <v>45436</v>
      </c>
      <c r="I39">
        <f ca="1">I38+COUNTIFS(Issues[OPENED ON],H39,Issues[TYPE],type,Issues[PRIORITY],priority)</f>
        <v>12</v>
      </c>
      <c r="J39">
        <f ca="1">J38+COUNTIFS(Issues[CLOSED ON],H39,Issues[TYPE],type,Issues[PRIORITY],priority)</f>
        <v>12</v>
      </c>
      <c r="N39" t="e">
        <f t="array" ref="N39">INDEX(Issues[TYPE],MATCH(0,COUNTIF(N$15:N38, Issues[TYPE]),0))</f>
        <v>#N/A</v>
      </c>
      <c r="O39" t="e">
        <f t="array" ref="O39">INDEX(Issues[PRIORITY],MATCH(0,COUNTIF(O$15:O38,Issues[PRIORITY]),0))</f>
        <v>#N/A</v>
      </c>
      <c r="S39" t="e">
        <f t="array" aca="1" ref="S39" ca="1">INDEX(typesUnsorted, MATCH(SMALL(COUNTIF(typesUnsorted, "&lt;"&amp;typesUnsorted), ROW(24:24)), COUNTIF(typesUnsorted, "&lt;"&amp;typesUnsorted), 0))</f>
        <v>#NUM!</v>
      </c>
      <c r="T39" t="e">
        <f t="array" aca="1" ref="T39" ca="1">INDEX(prioritiesUnsorted, MATCH(SMALL(COUNTIF(prioritiesUnsorted, "&lt;"&amp;prioritiesUnsorted), ROW(24:24)), COUNTIF(prioritiesUnsorted, "&lt;"&amp;prioritiesUnsorted), 0))</f>
        <v>#NUM!</v>
      </c>
    </row>
    <row r="40" spans="7:20" x14ac:dyDescent="0.25">
      <c r="G40">
        <v>25</v>
      </c>
      <c r="H40" s="1">
        <f t="shared" ca="1" si="0"/>
        <v>45437</v>
      </c>
      <c r="I40">
        <f ca="1">I39+COUNTIFS(Issues[OPENED ON],H40,Issues[TYPE],type,Issues[PRIORITY],priority)</f>
        <v>13</v>
      </c>
      <c r="J40">
        <f ca="1">J39+COUNTIFS(Issues[CLOSED ON],H40,Issues[TYPE],type,Issues[PRIORITY],priority)</f>
        <v>13</v>
      </c>
      <c r="N40" t="e">
        <f t="array" ref="N40">INDEX(Issues[TYPE],MATCH(0,COUNTIF(N$15:N39, Issues[TYPE]),0))</f>
        <v>#N/A</v>
      </c>
      <c r="O40" t="e">
        <f t="array" ref="O40">INDEX(Issues[PRIORITY],MATCH(0,COUNTIF(O$15:O39,Issues[PRIORITY]),0))</f>
        <v>#N/A</v>
      </c>
      <c r="S40" t="e">
        <f t="array" aca="1" ref="S40" ca="1">INDEX(typesUnsorted, MATCH(SMALL(COUNTIF(typesUnsorted, "&lt;"&amp;typesUnsorted), ROW(25:25)), COUNTIF(typesUnsorted, "&lt;"&amp;typesUnsorted), 0))</f>
        <v>#NUM!</v>
      </c>
      <c r="T40" t="e">
        <f t="array" aca="1" ref="T40" ca="1">INDEX(prioritiesUnsorted, MATCH(SMALL(COUNTIF(prioritiesUnsorted, "&lt;"&amp;prioritiesUnsorted), ROW(25:25)), COUNTIF(prioritiesUnsorted, "&lt;"&amp;prioritiesUnsorted), 0))</f>
        <v>#NUM!</v>
      </c>
    </row>
    <row r="41" spans="7:20" x14ac:dyDescent="0.25">
      <c r="G41">
        <v>26</v>
      </c>
      <c r="H41" s="1">
        <f t="shared" ca="1" si="0"/>
        <v>45438</v>
      </c>
      <c r="I41">
        <f ca="1">I40+COUNTIFS(Issues[OPENED ON],H41,Issues[TYPE],type,Issues[PRIORITY],priority)</f>
        <v>13</v>
      </c>
      <c r="J41">
        <f ca="1">J40+COUNTIFS(Issues[CLOSED ON],H41,Issues[TYPE],type,Issues[PRIORITY],priority)</f>
        <v>14</v>
      </c>
      <c r="N41" t="e">
        <f t="array" ref="N41">INDEX(Issues[TYPE],MATCH(0,COUNTIF(N$15:N40, Issues[TYPE]),0))</f>
        <v>#N/A</v>
      </c>
      <c r="O41" t="e">
        <f t="array" ref="O41">INDEX(Issues[PRIORITY],MATCH(0,COUNTIF(O$15:O40,Issues[PRIORITY]),0))</f>
        <v>#N/A</v>
      </c>
      <c r="S41" t="e">
        <f t="array" aca="1" ref="S41" ca="1">INDEX(typesUnsorted, MATCH(SMALL(COUNTIF(typesUnsorted, "&lt;"&amp;typesUnsorted), ROW(26:26)), COUNTIF(typesUnsorted, "&lt;"&amp;typesUnsorted), 0))</f>
        <v>#NUM!</v>
      </c>
      <c r="T41" t="e">
        <f t="array" aca="1" ref="T41" ca="1">INDEX(prioritiesUnsorted, MATCH(SMALL(COUNTIF(prioritiesUnsorted, "&lt;"&amp;prioritiesUnsorted), ROW(26:26)), COUNTIF(prioritiesUnsorted, "&lt;"&amp;prioritiesUnsorted), 0))</f>
        <v>#NUM!</v>
      </c>
    </row>
    <row r="42" spans="7:20" x14ac:dyDescent="0.25">
      <c r="G42">
        <v>27</v>
      </c>
      <c r="H42" s="1">
        <f t="shared" ca="1" si="0"/>
        <v>45439</v>
      </c>
      <c r="I42">
        <f ca="1">I41+COUNTIFS(Issues[OPENED ON],H42,Issues[TYPE],type,Issues[PRIORITY],priority)</f>
        <v>13</v>
      </c>
      <c r="J42">
        <f ca="1">J41+COUNTIFS(Issues[CLOSED ON],H42,Issues[TYPE],type,Issues[PRIORITY],priority)</f>
        <v>14</v>
      </c>
      <c r="N42" t="e">
        <f t="array" ref="N42">INDEX(Issues[TYPE],MATCH(0,COUNTIF(N$15:N41, Issues[TYPE]),0))</f>
        <v>#N/A</v>
      </c>
      <c r="O42" t="e">
        <f t="array" ref="O42">INDEX(Issues[PRIORITY],MATCH(0,COUNTIF(O$15:O41,Issues[PRIORITY]),0))</f>
        <v>#N/A</v>
      </c>
      <c r="S42" t="e">
        <f t="array" aca="1" ref="S42" ca="1">INDEX(typesUnsorted, MATCH(SMALL(COUNTIF(typesUnsorted, "&lt;"&amp;typesUnsorted), ROW(27:27)), COUNTIF(typesUnsorted, "&lt;"&amp;typesUnsorted), 0))</f>
        <v>#NUM!</v>
      </c>
      <c r="T42" t="e">
        <f t="array" aca="1" ref="T42" ca="1">INDEX(prioritiesUnsorted, MATCH(SMALL(COUNTIF(prioritiesUnsorted, "&lt;"&amp;prioritiesUnsorted), ROW(27:27)), COUNTIF(prioritiesUnsorted, "&lt;"&amp;prioritiesUnsorted), 0))</f>
        <v>#NUM!</v>
      </c>
    </row>
    <row r="43" spans="7:20" x14ac:dyDescent="0.25">
      <c r="G43">
        <v>28</v>
      </c>
      <c r="H43" s="1">
        <f t="shared" ca="1" si="0"/>
        <v>45440</v>
      </c>
      <c r="I43">
        <f ca="1">I42+COUNTIFS(Issues[OPENED ON],H43,Issues[TYPE],type,Issues[PRIORITY],priority)</f>
        <v>13</v>
      </c>
      <c r="J43">
        <f ca="1">J42+COUNTIFS(Issues[CLOSED ON],H43,Issues[TYPE],type,Issues[PRIORITY],priority)</f>
        <v>14</v>
      </c>
      <c r="N43" t="e">
        <f t="array" ref="N43">INDEX(Issues[TYPE],MATCH(0,COUNTIF(N$15:N42, Issues[TYPE]),0))</f>
        <v>#N/A</v>
      </c>
      <c r="O43" t="e">
        <f t="array" ref="O43">INDEX(Issues[PRIORITY],MATCH(0,COUNTIF(O$15:O42,Issues[PRIORITY]),0))</f>
        <v>#N/A</v>
      </c>
      <c r="S43" t="e">
        <f t="array" aca="1" ref="S43" ca="1">INDEX(typesUnsorted, MATCH(SMALL(COUNTIF(typesUnsorted, "&lt;"&amp;typesUnsorted), ROW(28:28)), COUNTIF(typesUnsorted, "&lt;"&amp;typesUnsorted), 0))</f>
        <v>#NUM!</v>
      </c>
      <c r="T43" t="e">
        <f t="array" aca="1" ref="T43" ca="1">INDEX(prioritiesUnsorted, MATCH(SMALL(COUNTIF(prioritiesUnsorted, "&lt;"&amp;prioritiesUnsorted), ROW(28:28)), COUNTIF(prioritiesUnsorted, "&lt;"&amp;prioritiesUnsorted), 0))</f>
        <v>#NUM!</v>
      </c>
    </row>
    <row r="44" spans="7:20" x14ac:dyDescent="0.25">
      <c r="G44">
        <v>29</v>
      </c>
      <c r="H44" s="1">
        <f t="shared" ca="1" si="0"/>
        <v>45441</v>
      </c>
      <c r="I44">
        <f ca="1">I43+COUNTIFS(Issues[OPENED ON],H44,Issues[TYPE],type,Issues[PRIORITY],priority)</f>
        <v>13</v>
      </c>
      <c r="J44">
        <f ca="1">J43+COUNTIFS(Issues[CLOSED ON],H44,Issues[TYPE],type,Issues[PRIORITY],priority)</f>
        <v>14</v>
      </c>
      <c r="N44" t="e">
        <f t="array" ref="N44">INDEX(Issues[TYPE],MATCH(0,COUNTIF(N$15:N43, Issues[TYPE]),0))</f>
        <v>#N/A</v>
      </c>
      <c r="O44" t="e">
        <f t="array" ref="O44">INDEX(Issues[PRIORITY],MATCH(0,COUNTIF(O$15:O43,Issues[PRIORITY]),0))</f>
        <v>#N/A</v>
      </c>
      <c r="S44" t="e">
        <f t="array" aca="1" ref="S44" ca="1">INDEX(typesUnsorted, MATCH(SMALL(COUNTIF(typesUnsorted, "&lt;"&amp;typesUnsorted), ROW(29:29)), COUNTIF(typesUnsorted, "&lt;"&amp;typesUnsorted), 0))</f>
        <v>#NUM!</v>
      </c>
      <c r="T44" t="e">
        <f t="array" aca="1" ref="T44" ca="1">INDEX(prioritiesUnsorted, MATCH(SMALL(COUNTIF(prioritiesUnsorted, "&lt;"&amp;prioritiesUnsorted), ROW(29:29)), COUNTIF(prioritiesUnsorted, "&lt;"&amp;prioritiesUnsorted), 0))</f>
        <v>#NUM!</v>
      </c>
    </row>
    <row r="45" spans="7:20" x14ac:dyDescent="0.25">
      <c r="G45">
        <v>30</v>
      </c>
      <c r="H45" s="1">
        <f t="shared" ca="1" si="0"/>
        <v>45442</v>
      </c>
      <c r="I45">
        <f ca="1">I44+COUNTIFS(Issues[OPENED ON],H45,Issues[TYPE],type,Issues[PRIORITY],priority)</f>
        <v>14</v>
      </c>
      <c r="J45">
        <f ca="1">J44+COUNTIFS(Issues[CLOSED ON],H45,Issues[TYPE],type,Issues[PRIORITY],priority)</f>
        <v>14</v>
      </c>
      <c r="N45" t="e">
        <f t="array" ref="N45">INDEX(Issues[TYPE],MATCH(0,COUNTIF(N$15:N44, Issues[TYPE]),0))</f>
        <v>#N/A</v>
      </c>
      <c r="O45" t="e">
        <f t="array" ref="O45">INDEX(Issues[PRIORITY],MATCH(0,COUNTIF(O$15:O44,Issues[PRIORITY]),0))</f>
        <v>#N/A</v>
      </c>
      <c r="S45" t="e">
        <f t="array" aca="1" ref="S45" ca="1">INDEX(typesUnsorted, MATCH(SMALL(COUNTIF(typesUnsorted, "&lt;"&amp;typesUnsorted), ROW(30:30)), COUNTIF(typesUnsorted, "&lt;"&amp;typesUnsorted), 0))</f>
        <v>#NUM!</v>
      </c>
      <c r="T45" t="e">
        <f t="array" aca="1" ref="T45" ca="1">INDEX(prioritiesUnsorted, MATCH(SMALL(COUNTIF(prioritiesUnsorted, "&lt;"&amp;prioritiesUnsorted), ROW(30:30)), COUNTIF(prioritiesUnsorted, "&lt;"&amp;prioritiesUnsorted), 0))</f>
        <v>#NUM!</v>
      </c>
    </row>
    <row r="46" spans="7:20" x14ac:dyDescent="0.25">
      <c r="G46">
        <v>31</v>
      </c>
      <c r="H46" s="1">
        <f t="shared" ca="1" si="0"/>
        <v>45443</v>
      </c>
      <c r="I46">
        <f ca="1">I45+COUNTIFS(Issues[OPENED ON],H46,Issues[TYPE],type,Issues[PRIORITY],priority)</f>
        <v>14</v>
      </c>
      <c r="J46">
        <f ca="1">J45+COUNTIFS(Issues[CLOSED ON],H46,Issues[TYPE],type,Issues[PRIORITY],priority)</f>
        <v>14</v>
      </c>
    </row>
    <row r="47" spans="7:20" x14ac:dyDescent="0.25">
      <c r="G47">
        <v>32</v>
      </c>
      <c r="H47" s="1">
        <f t="shared" ca="1" si="0"/>
        <v>45444</v>
      </c>
      <c r="I47">
        <f ca="1">I46+COUNTIFS(Issues[OPENED ON],H47,Issues[TYPE],type,Issues[PRIORITY],priority)</f>
        <v>14</v>
      </c>
      <c r="J47">
        <f ca="1">J46+COUNTIFS(Issues[CLOSED ON],H47,Issues[TYPE],type,Issues[PRIORITY],priority)</f>
        <v>14</v>
      </c>
    </row>
    <row r="48" spans="7:20" x14ac:dyDescent="0.25">
      <c r="G48">
        <v>33</v>
      </c>
      <c r="H48" s="1">
        <f t="shared" ref="H48:H79" ca="1" si="1">keydate-days+G48</f>
        <v>45445</v>
      </c>
      <c r="I48">
        <f ca="1">I47+COUNTIFS(Issues[OPENED ON],H48,Issues[TYPE],type,Issues[PRIORITY],priority)</f>
        <v>14</v>
      </c>
      <c r="J48">
        <f ca="1">J47+COUNTIFS(Issues[CLOSED ON],H48,Issues[TYPE],type,Issues[PRIORITY],priority)</f>
        <v>14</v>
      </c>
    </row>
    <row r="49" spans="7:10" x14ac:dyDescent="0.25">
      <c r="G49">
        <v>34</v>
      </c>
      <c r="H49" s="1">
        <f t="shared" ca="1" si="1"/>
        <v>45446</v>
      </c>
      <c r="I49">
        <f ca="1">I48+COUNTIFS(Issues[OPENED ON],H49,Issues[TYPE],type,Issues[PRIORITY],priority)</f>
        <v>14</v>
      </c>
      <c r="J49">
        <f ca="1">J48+COUNTIFS(Issues[CLOSED ON],H49,Issues[TYPE],type,Issues[PRIORITY],priority)</f>
        <v>15</v>
      </c>
    </row>
    <row r="50" spans="7:10" x14ac:dyDescent="0.25">
      <c r="G50">
        <v>35</v>
      </c>
      <c r="H50" s="1">
        <f t="shared" ca="1" si="1"/>
        <v>45447</v>
      </c>
      <c r="I50">
        <f ca="1">I49+COUNTIFS(Issues[OPENED ON],H50,Issues[TYPE],type,Issues[PRIORITY],priority)</f>
        <v>15</v>
      </c>
      <c r="J50">
        <f ca="1">J49+COUNTIFS(Issues[CLOSED ON],H50,Issues[TYPE],type,Issues[PRIORITY],priority)</f>
        <v>16</v>
      </c>
    </row>
    <row r="51" spans="7:10" x14ac:dyDescent="0.25">
      <c r="G51">
        <v>36</v>
      </c>
      <c r="H51" s="1">
        <f t="shared" ca="1" si="1"/>
        <v>45448</v>
      </c>
      <c r="I51">
        <f ca="1">I50+COUNTIFS(Issues[OPENED ON],H51,Issues[TYPE],type,Issues[PRIORITY],priority)</f>
        <v>15</v>
      </c>
      <c r="J51">
        <f ca="1">J50+COUNTIFS(Issues[CLOSED ON],H51,Issues[TYPE],type,Issues[PRIORITY],priority)</f>
        <v>16</v>
      </c>
    </row>
    <row r="52" spans="7:10" x14ac:dyDescent="0.25">
      <c r="G52">
        <v>37</v>
      </c>
      <c r="H52" s="1">
        <f t="shared" ca="1" si="1"/>
        <v>45449</v>
      </c>
      <c r="I52">
        <f ca="1">I51+COUNTIFS(Issues[OPENED ON],H52,Issues[TYPE],type,Issues[PRIORITY],priority)</f>
        <v>15</v>
      </c>
      <c r="J52">
        <f ca="1">J51+COUNTIFS(Issues[CLOSED ON],H52,Issues[TYPE],type,Issues[PRIORITY],priority)</f>
        <v>16</v>
      </c>
    </row>
    <row r="53" spans="7:10" x14ac:dyDescent="0.25">
      <c r="G53">
        <v>38</v>
      </c>
      <c r="H53" s="1">
        <f t="shared" ca="1" si="1"/>
        <v>45450</v>
      </c>
      <c r="I53">
        <f ca="1">I52+COUNTIFS(Issues[OPENED ON],H53,Issues[TYPE],type,Issues[PRIORITY],priority)</f>
        <v>17</v>
      </c>
      <c r="J53">
        <f ca="1">J52+COUNTIFS(Issues[CLOSED ON],H53,Issues[TYPE],type,Issues[PRIORITY],priority)</f>
        <v>17</v>
      </c>
    </row>
    <row r="54" spans="7:10" x14ac:dyDescent="0.25">
      <c r="G54">
        <v>39</v>
      </c>
      <c r="H54" s="1">
        <f t="shared" ca="1" si="1"/>
        <v>45451</v>
      </c>
      <c r="I54">
        <f ca="1">I53+COUNTIFS(Issues[OPENED ON],H54,Issues[TYPE],type,Issues[PRIORITY],priority)</f>
        <v>17</v>
      </c>
      <c r="J54">
        <f ca="1">J53+COUNTIFS(Issues[CLOSED ON],H54,Issues[TYPE],type,Issues[PRIORITY],priority)</f>
        <v>17</v>
      </c>
    </row>
    <row r="55" spans="7:10" x14ac:dyDescent="0.25">
      <c r="G55">
        <v>40</v>
      </c>
      <c r="H55" s="1">
        <f t="shared" ca="1" si="1"/>
        <v>45452</v>
      </c>
      <c r="I55">
        <f ca="1">I54+COUNTIFS(Issues[OPENED ON],H55,Issues[TYPE],type,Issues[PRIORITY],priority)</f>
        <v>17</v>
      </c>
      <c r="J55">
        <f ca="1">J54+COUNTIFS(Issues[CLOSED ON],H55,Issues[TYPE],type,Issues[PRIORITY],priority)</f>
        <v>18</v>
      </c>
    </row>
    <row r="56" spans="7:10" x14ac:dyDescent="0.25">
      <c r="G56">
        <v>41</v>
      </c>
      <c r="H56" s="1">
        <f t="shared" ca="1" si="1"/>
        <v>45453</v>
      </c>
      <c r="I56">
        <f ca="1">I55+COUNTIFS(Issues[OPENED ON],H56,Issues[TYPE],type,Issues[PRIORITY],priority)</f>
        <v>17</v>
      </c>
      <c r="J56">
        <f ca="1">J55+COUNTIFS(Issues[CLOSED ON],H56,Issues[TYPE],type,Issues[PRIORITY],priority)</f>
        <v>18</v>
      </c>
    </row>
    <row r="57" spans="7:10" x14ac:dyDescent="0.25">
      <c r="G57">
        <v>42</v>
      </c>
      <c r="H57" s="1">
        <f t="shared" ca="1" si="1"/>
        <v>45454</v>
      </c>
      <c r="I57">
        <f ca="1">I56+COUNTIFS(Issues[OPENED ON],H57,Issues[TYPE],type,Issues[PRIORITY],priority)</f>
        <v>17</v>
      </c>
      <c r="J57">
        <f ca="1">J56+COUNTIFS(Issues[CLOSED ON],H57,Issues[TYPE],type,Issues[PRIORITY],priority)</f>
        <v>18</v>
      </c>
    </row>
    <row r="58" spans="7:10" x14ac:dyDescent="0.25">
      <c r="G58">
        <v>43</v>
      </c>
      <c r="H58" s="1">
        <f t="shared" ca="1" si="1"/>
        <v>45455</v>
      </c>
      <c r="I58">
        <f ca="1">I57+COUNTIFS(Issues[OPENED ON],H58,Issues[TYPE],type,Issues[PRIORITY],priority)</f>
        <v>18</v>
      </c>
      <c r="J58">
        <f ca="1">J57+COUNTIFS(Issues[CLOSED ON],H58,Issues[TYPE],type,Issues[PRIORITY],priority)</f>
        <v>19</v>
      </c>
    </row>
    <row r="59" spans="7:10" x14ac:dyDescent="0.25">
      <c r="G59">
        <v>44</v>
      </c>
      <c r="H59" s="1">
        <f t="shared" ca="1" si="1"/>
        <v>45456</v>
      </c>
      <c r="I59">
        <f ca="1">I58+COUNTIFS(Issues[OPENED ON],H59,Issues[TYPE],type,Issues[PRIORITY],priority)</f>
        <v>18</v>
      </c>
      <c r="J59">
        <f ca="1">J58+COUNTIFS(Issues[CLOSED ON],H59,Issues[TYPE],type,Issues[PRIORITY],priority)</f>
        <v>19</v>
      </c>
    </row>
    <row r="60" spans="7:10" x14ac:dyDescent="0.25">
      <c r="G60">
        <v>45</v>
      </c>
      <c r="H60" s="1">
        <f t="shared" ca="1" si="1"/>
        <v>45457</v>
      </c>
      <c r="I60">
        <f ca="1">I59+COUNTIFS(Issues[OPENED ON],H60,Issues[TYPE],type,Issues[PRIORITY],priority)</f>
        <v>18</v>
      </c>
      <c r="J60">
        <f ca="1">J59+COUNTIFS(Issues[CLOSED ON],H60,Issues[TYPE],type,Issues[PRIORITY],priority)</f>
        <v>19</v>
      </c>
    </row>
    <row r="61" spans="7:10" x14ac:dyDescent="0.25">
      <c r="G61">
        <v>46</v>
      </c>
      <c r="H61" s="1">
        <f t="shared" ca="1" si="1"/>
        <v>45458</v>
      </c>
      <c r="I61">
        <f ca="1">I60+COUNTIFS(Issues[OPENED ON],H61,Issues[TYPE],type,Issues[PRIORITY],priority)</f>
        <v>18</v>
      </c>
      <c r="J61">
        <f ca="1">J60+COUNTIFS(Issues[CLOSED ON],H61,Issues[TYPE],type,Issues[PRIORITY],priority)</f>
        <v>19</v>
      </c>
    </row>
    <row r="62" spans="7:10" x14ac:dyDescent="0.25">
      <c r="G62">
        <v>47</v>
      </c>
      <c r="H62" s="1">
        <f t="shared" ca="1" si="1"/>
        <v>45459</v>
      </c>
      <c r="I62">
        <f ca="1">I61+COUNTIFS(Issues[OPENED ON],H62,Issues[TYPE],type,Issues[PRIORITY],priority)</f>
        <v>18</v>
      </c>
      <c r="J62">
        <f ca="1">J61+COUNTIFS(Issues[CLOSED ON],H62,Issues[TYPE],type,Issues[PRIORITY],priority)</f>
        <v>19</v>
      </c>
    </row>
    <row r="63" spans="7:10" x14ac:dyDescent="0.25">
      <c r="G63">
        <v>48</v>
      </c>
      <c r="H63" s="1">
        <f t="shared" ca="1" si="1"/>
        <v>45460</v>
      </c>
      <c r="I63">
        <f ca="1">I62+COUNTIFS(Issues[OPENED ON],H63,Issues[TYPE],type,Issues[PRIORITY],priority)</f>
        <v>19</v>
      </c>
      <c r="J63">
        <f ca="1">J62+COUNTIFS(Issues[CLOSED ON],H63,Issues[TYPE],type,Issues[PRIORITY],priority)</f>
        <v>20</v>
      </c>
    </row>
    <row r="64" spans="7:10" x14ac:dyDescent="0.25">
      <c r="G64">
        <v>49</v>
      </c>
      <c r="H64" s="1">
        <f t="shared" ca="1" si="1"/>
        <v>45461</v>
      </c>
      <c r="I64">
        <f ca="1">I63+COUNTIFS(Issues[OPENED ON],H64,Issues[TYPE],type,Issues[PRIORITY],priority)</f>
        <v>22</v>
      </c>
      <c r="J64">
        <f ca="1">J63+COUNTIFS(Issues[CLOSED ON],H64,Issues[TYPE],type,Issues[PRIORITY],priority)</f>
        <v>23</v>
      </c>
    </row>
    <row r="65" spans="7:10" x14ac:dyDescent="0.25">
      <c r="G65">
        <v>50</v>
      </c>
      <c r="H65" s="1">
        <f t="shared" ca="1" si="1"/>
        <v>45462</v>
      </c>
      <c r="I65">
        <f ca="1">I64+COUNTIFS(Issues[OPENED ON],H65,Issues[TYPE],type,Issues[PRIORITY],priority)</f>
        <v>23</v>
      </c>
      <c r="J65">
        <f ca="1">J64+COUNTIFS(Issues[CLOSED ON],H65,Issues[TYPE],type,Issues[PRIORITY],priority)</f>
        <v>24</v>
      </c>
    </row>
    <row r="66" spans="7:10" x14ac:dyDescent="0.25">
      <c r="G66">
        <v>51</v>
      </c>
      <c r="H66" s="1">
        <f t="shared" ca="1" si="1"/>
        <v>45463</v>
      </c>
      <c r="I66">
        <f ca="1">I65+COUNTIFS(Issues[OPENED ON],H66,Issues[TYPE],type,Issues[PRIORITY],priority)</f>
        <v>23</v>
      </c>
      <c r="J66">
        <f ca="1">J65+COUNTIFS(Issues[CLOSED ON],H66,Issues[TYPE],type,Issues[PRIORITY],priority)</f>
        <v>24</v>
      </c>
    </row>
    <row r="67" spans="7:10" x14ac:dyDescent="0.25">
      <c r="G67">
        <v>52</v>
      </c>
      <c r="H67" s="1">
        <f t="shared" ca="1" si="1"/>
        <v>45464</v>
      </c>
      <c r="I67">
        <f ca="1">I66+COUNTIFS(Issues[OPENED ON],H67,Issues[TYPE],type,Issues[PRIORITY],priority)</f>
        <v>23</v>
      </c>
      <c r="J67">
        <f ca="1">J66+COUNTIFS(Issues[CLOSED ON],H67,Issues[TYPE],type,Issues[PRIORITY],priority)</f>
        <v>24</v>
      </c>
    </row>
    <row r="68" spans="7:10" x14ac:dyDescent="0.25">
      <c r="G68">
        <v>53</v>
      </c>
      <c r="H68" s="1">
        <f t="shared" ca="1" si="1"/>
        <v>45465</v>
      </c>
      <c r="I68">
        <f ca="1">I67+COUNTIFS(Issues[OPENED ON],H68,Issues[TYPE],type,Issues[PRIORITY],priority)</f>
        <v>23</v>
      </c>
      <c r="J68">
        <f ca="1">J67+COUNTIFS(Issues[CLOSED ON],H68,Issues[TYPE],type,Issues[PRIORITY],priority)</f>
        <v>24</v>
      </c>
    </row>
    <row r="69" spans="7:10" x14ac:dyDescent="0.25">
      <c r="G69">
        <v>54</v>
      </c>
      <c r="H69" s="1">
        <f t="shared" ca="1" si="1"/>
        <v>45466</v>
      </c>
      <c r="I69">
        <f ca="1">I68+COUNTIFS(Issues[OPENED ON],H69,Issues[TYPE],type,Issues[PRIORITY],priority)</f>
        <v>24</v>
      </c>
      <c r="J69">
        <f ca="1">J68+COUNTIFS(Issues[CLOSED ON],H69,Issues[TYPE],type,Issues[PRIORITY],priority)</f>
        <v>25</v>
      </c>
    </row>
    <row r="70" spans="7:10" x14ac:dyDescent="0.25">
      <c r="G70">
        <v>55</v>
      </c>
      <c r="H70" s="1">
        <f t="shared" ca="1" si="1"/>
        <v>45467</v>
      </c>
      <c r="I70">
        <f ca="1">I69+COUNTIFS(Issues[OPENED ON],H70,Issues[TYPE],type,Issues[PRIORITY],priority)</f>
        <v>24</v>
      </c>
      <c r="J70">
        <f ca="1">J69+COUNTIFS(Issues[CLOSED ON],H70,Issues[TYPE],type,Issues[PRIORITY],priority)</f>
        <v>25</v>
      </c>
    </row>
    <row r="71" spans="7:10" x14ac:dyDescent="0.25">
      <c r="G71">
        <v>56</v>
      </c>
      <c r="H71" s="1">
        <f t="shared" ca="1" si="1"/>
        <v>45468</v>
      </c>
      <c r="I71">
        <f ca="1">I70+COUNTIFS(Issues[OPENED ON],H71,Issues[TYPE],type,Issues[PRIORITY],priority)</f>
        <v>24</v>
      </c>
      <c r="J71">
        <f ca="1">J70+COUNTIFS(Issues[CLOSED ON],H71,Issues[TYPE],type,Issues[PRIORITY],priority)</f>
        <v>25</v>
      </c>
    </row>
    <row r="72" spans="7:10" x14ac:dyDescent="0.25">
      <c r="G72">
        <v>57</v>
      </c>
      <c r="H72" s="1">
        <f t="shared" ca="1" si="1"/>
        <v>45469</v>
      </c>
      <c r="I72">
        <f ca="1">I71+COUNTIFS(Issues[OPENED ON],H72,Issues[TYPE],type,Issues[PRIORITY],priority)</f>
        <v>24</v>
      </c>
      <c r="J72">
        <f ca="1">J71+COUNTIFS(Issues[CLOSED ON],H72,Issues[TYPE],type,Issues[PRIORITY],priority)</f>
        <v>25</v>
      </c>
    </row>
    <row r="73" spans="7:10" x14ac:dyDescent="0.25">
      <c r="G73">
        <v>58</v>
      </c>
      <c r="H73" s="1">
        <f t="shared" ca="1" si="1"/>
        <v>45470</v>
      </c>
      <c r="I73">
        <f ca="1">I72+COUNTIFS(Issues[OPENED ON],H73,Issues[TYPE],type,Issues[PRIORITY],priority)</f>
        <v>24</v>
      </c>
      <c r="J73">
        <f ca="1">J72+COUNTIFS(Issues[CLOSED ON],H73,Issues[TYPE],type,Issues[PRIORITY],priority)</f>
        <v>25</v>
      </c>
    </row>
    <row r="74" spans="7:10" x14ac:dyDescent="0.25">
      <c r="G74">
        <v>59</v>
      </c>
      <c r="H74" s="1">
        <f t="shared" ca="1" si="1"/>
        <v>45471</v>
      </c>
      <c r="I74">
        <f ca="1">I73+COUNTIFS(Issues[OPENED ON],H74,Issues[TYPE],type,Issues[PRIORITY],priority)</f>
        <v>26</v>
      </c>
      <c r="J74">
        <f ca="1">J73+COUNTIFS(Issues[CLOSED ON],H74,Issues[TYPE],type,Issues[PRIORITY],priority)</f>
        <v>26</v>
      </c>
    </row>
    <row r="75" spans="7:10" x14ac:dyDescent="0.25">
      <c r="G75">
        <v>60</v>
      </c>
      <c r="H75" s="1">
        <f t="shared" ca="1" si="1"/>
        <v>45472</v>
      </c>
      <c r="I75">
        <f ca="1">I74+COUNTIFS(Issues[OPENED ON],H75,Issues[TYPE],type,Issues[PRIORITY],priority)</f>
        <v>26</v>
      </c>
      <c r="J75">
        <f ca="1">J74+COUNTIFS(Issues[CLOSED ON],H75,Issues[TYPE],type,Issues[PRIORITY],priority)</f>
        <v>26</v>
      </c>
    </row>
    <row r="76" spans="7:10" x14ac:dyDescent="0.25">
      <c r="G76">
        <v>61</v>
      </c>
      <c r="H76" s="1">
        <f t="shared" ca="1" si="1"/>
        <v>45473</v>
      </c>
      <c r="I76">
        <f ca="1">I75+COUNTIFS(Issues[OPENED ON],H76,Issues[TYPE],type,Issues[PRIORITY],priority)</f>
        <v>26</v>
      </c>
      <c r="J76">
        <f ca="1">J75+COUNTIFS(Issues[CLOSED ON],H76,Issues[TYPE],type,Issues[PRIORITY],priority)</f>
        <v>27</v>
      </c>
    </row>
    <row r="77" spans="7:10" x14ac:dyDescent="0.25">
      <c r="G77">
        <v>62</v>
      </c>
      <c r="H77" s="1">
        <f t="shared" ca="1" si="1"/>
        <v>45474</v>
      </c>
      <c r="I77">
        <f ca="1">I76+COUNTIFS(Issues[OPENED ON],H77,Issues[TYPE],type,Issues[PRIORITY],priority)</f>
        <v>26</v>
      </c>
      <c r="J77">
        <f ca="1">J76+COUNTIFS(Issues[CLOSED ON],H77,Issues[TYPE],type,Issues[PRIORITY],priority)</f>
        <v>27</v>
      </c>
    </row>
    <row r="78" spans="7:10" x14ac:dyDescent="0.25">
      <c r="G78">
        <v>63</v>
      </c>
      <c r="H78" s="1">
        <f t="shared" ca="1" si="1"/>
        <v>45475</v>
      </c>
      <c r="I78">
        <f ca="1">I77+COUNTIFS(Issues[OPENED ON],H78,Issues[TYPE],type,Issues[PRIORITY],priority)</f>
        <v>26</v>
      </c>
      <c r="J78">
        <f ca="1">J77+COUNTIFS(Issues[CLOSED ON],H78,Issues[TYPE],type,Issues[PRIORITY],priority)</f>
        <v>27</v>
      </c>
    </row>
    <row r="79" spans="7:10" x14ac:dyDescent="0.25">
      <c r="G79">
        <v>64</v>
      </c>
      <c r="H79" s="1">
        <f t="shared" ca="1" si="1"/>
        <v>45476</v>
      </c>
      <c r="I79">
        <f ca="1">I78+COUNTIFS(Issues[OPENED ON],H79,Issues[TYPE],type,Issues[PRIORITY],priority)</f>
        <v>27</v>
      </c>
      <c r="J79">
        <f ca="1">J78+COUNTIFS(Issues[CLOSED ON],H79,Issues[TYPE],type,Issues[PRIORITY],priority)</f>
        <v>28</v>
      </c>
    </row>
    <row r="80" spans="7:10" x14ac:dyDescent="0.25">
      <c r="G80">
        <v>65</v>
      </c>
      <c r="H80" s="1">
        <f t="shared" ref="H80" ca="1" si="2">keydate-days+G80</f>
        <v>45477</v>
      </c>
      <c r="I80">
        <f ca="1">I79+COUNTIFS(Issues[OPENED ON],H80,Issues[TYPE],type,Issues[PRIORITY],priority)</f>
        <v>29</v>
      </c>
      <c r="J80">
        <f ca="1">J79+COUNTIFS(Issues[CLOSED ON],H80,Issues[TYPE],type,Issues[PRIORITY],priority)</f>
        <v>29</v>
      </c>
    </row>
  </sheetData>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Background xmlns="71af3243-3dd4-4a8d-8c0d-dd76da1f02a5">false</Background>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Props1.xml><?xml version="1.0" encoding="utf-8"?>
<ds:datastoreItem xmlns:ds="http://schemas.openxmlformats.org/officeDocument/2006/customXml" ds:itemID="{8758BBDD-98A6-422E-9216-35295590F243}">
  <ds:schemaRefs>
    <ds:schemaRef ds:uri="http://schemas.microsoft.com/sharepoint/v3/contenttype/forms"/>
  </ds:schemaRefs>
</ds:datastoreItem>
</file>

<file path=customXml/itemProps2.xml><?xml version="1.0" encoding="utf-8"?>
<ds:datastoreItem xmlns:ds="http://schemas.openxmlformats.org/officeDocument/2006/customXml" ds:itemID="{590C273B-CA2B-418F-BBC2-95D7473D5B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5222FD-27AF-4B66-A496-95C2840FCB10}">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docProps/app.xml><?xml version="1.0" encoding="utf-8"?>
<Properties xmlns="http://schemas.openxmlformats.org/officeDocument/2006/extended-properties" xmlns:vt="http://schemas.openxmlformats.org/officeDocument/2006/docPropsVTypes">
  <Template>TM03784001</Template>
  <Application>Microsoft Excel</Application>
  <DocSecurity>0</DocSecurity>
  <ScaleCrop>false</ScaleCrop>
  <HeadingPairs>
    <vt:vector size="4" baseType="variant">
      <vt:variant>
        <vt:lpstr>Worksheets</vt:lpstr>
      </vt:variant>
      <vt:variant>
        <vt:i4>2</vt:i4>
      </vt:variant>
      <vt:variant>
        <vt:lpstr>Named Ranges</vt:lpstr>
      </vt:variant>
      <vt:variant>
        <vt:i4>9</vt:i4>
      </vt:variant>
    </vt:vector>
  </HeadingPairs>
  <TitlesOfParts>
    <vt:vector size="11" baseType="lpstr">
      <vt:lpstr>Issue Tracker</vt:lpstr>
      <vt:lpstr>calculations</vt:lpstr>
      <vt:lpstr>days</vt:lpstr>
      <vt:lpstr>keydate</vt:lpstr>
      <vt:lpstr>maxdate</vt:lpstr>
      <vt:lpstr>mindate</vt:lpstr>
      <vt:lpstr>'Issue Tracker'!Print_Titles</vt:lpstr>
      <vt:lpstr>priority</vt:lpstr>
      <vt:lpstr>RowTitleRegion1..J2</vt:lpstr>
      <vt:lpstr>Title1</vt:lpstr>
      <vt:lpstr>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2022-11-06T05:57:26Z</dcterms:created>
  <dcterms:modified xsi:type="dcterms:W3CDTF">2024-06-10T08:36:20Z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